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Height="177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8" name="ID_0423FF8255E041959F016127825B527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7670780" y="3960495"/>
          <a:ext cx="1095375" cy="1014730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19" name="ID_095F04A186B14780BA6316CA3C3A2CA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7399635" y="5249545"/>
          <a:ext cx="1831975" cy="990600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17" name="ID_CA49A52E0881478FBA339D2FAD57B8C6"/>
        <xdr:cNvPicPr>
          <a:picLocks noChangeAspect="1"/>
        </xdr:cNvPicPr>
      </xdr:nvPicPr>
      <xdr:blipFill>
        <a:blip r:embed="rId3" r:link="rId4"/>
        <a:stretch>
          <a:fillRect/>
        </a:stretch>
      </xdr:blipFill>
      <xdr:spPr>
        <a:xfrm>
          <a:off x="17552670" y="6470650"/>
          <a:ext cx="1168400" cy="1120140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20" name="ID_30463CFB2E5D4EE289721562D85470DD"/>
        <xdr:cNvPicPr>
          <a:picLocks noChangeAspect="1"/>
        </xdr:cNvPicPr>
      </xdr:nvPicPr>
      <xdr:blipFill>
        <a:blip r:embed="rId3" r:link="rId4"/>
        <a:stretch>
          <a:fillRect/>
        </a:stretch>
      </xdr:blipFill>
      <xdr:spPr>
        <a:xfrm>
          <a:off x="17781270" y="7868920"/>
          <a:ext cx="1168400" cy="1120140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21" name="ID_B6507C73C718436B83F8575F36E126E6"/>
        <xdr:cNvPicPr>
          <a:picLocks noChangeAspect="1"/>
        </xdr:cNvPicPr>
      </xdr:nvPicPr>
      <xdr:blipFill>
        <a:blip r:embed="rId3" r:link="rId4"/>
        <a:stretch>
          <a:fillRect/>
        </a:stretch>
      </xdr:blipFill>
      <xdr:spPr>
        <a:xfrm>
          <a:off x="17781270" y="10777220"/>
          <a:ext cx="1168400" cy="1120140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22" name="ID_D00C1C07A6FE4A28A8343AA276CE55A5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620615" y="13512800"/>
          <a:ext cx="1367155" cy="1196340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23" name="ID_875D86222E524DF8B22D1A191685A77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757775" y="15318105"/>
          <a:ext cx="1367155" cy="1196340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24" name="ID_585E8FA235064E07AD9EAD99800A996E"/>
        <xdr:cNvPicPr>
          <a:picLocks noChangeAspect="1"/>
        </xdr:cNvPicPr>
      </xdr:nvPicPr>
      <xdr:blipFill>
        <a:blip r:embed="rId3" r:link="rId4"/>
        <a:stretch>
          <a:fillRect/>
        </a:stretch>
      </xdr:blipFill>
      <xdr:spPr>
        <a:xfrm>
          <a:off x="17844135" y="16855440"/>
          <a:ext cx="1168400" cy="1120140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25" name="ID_1D7559C518D942F08D51454B6562EE99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705705" y="17276445"/>
          <a:ext cx="1367155" cy="1196340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26" name="ID_75A3C6C15AD44C0D92D4464D6BBD6FC0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17609820" y="21475065"/>
          <a:ext cx="1415415" cy="1094740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27" name="ID_C57BEBF3D59B46EDB6D4690CC45CE39E"/>
        <xdr:cNvPicPr>
          <a:picLocks noChangeAspect="1"/>
        </xdr:cNvPicPr>
      </xdr:nvPicPr>
      <xdr:blipFill>
        <a:blip r:embed="rId7" r:link="rId4"/>
        <a:stretch>
          <a:fillRect/>
        </a:stretch>
      </xdr:blipFill>
      <xdr:spPr>
        <a:xfrm>
          <a:off x="17467580" y="22692360"/>
          <a:ext cx="1748155" cy="1169035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28" name="ID_4B8E05ADD10C4BF2BF800648C0C939EC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 rot="5400000">
          <a:off x="17764125" y="25063450"/>
          <a:ext cx="1073785" cy="1204595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29" name="ID_B6F816DC9F104A5A84ABE2182DA2606E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 rot="5400000">
          <a:off x="17764125" y="27400250"/>
          <a:ext cx="1073785" cy="1204595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7" name="ID_D3BB1BB139CE4080B5B47F47E9652403"/>
        <xdr:cNvPicPr>
          <a:picLocks noChangeAspect="1"/>
        </xdr:cNvPicPr>
      </xdr:nvPicPr>
      <xdr:blipFill>
        <a:blip r:embed="rId9"/>
        <a:stretch>
          <a:fillRect/>
        </a:stretch>
      </xdr:blipFill>
      <xdr:spPr>
        <a:xfrm>
          <a:off x="17729200" y="30104080"/>
          <a:ext cx="1114425" cy="2096135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2" name="ID_4F5EF6DD43054F339936BD1793DE65F0"/>
        <xdr:cNvPicPr>
          <a:picLocks noChangeAspect="1"/>
        </xdr:cNvPicPr>
      </xdr:nvPicPr>
      <xdr:blipFill>
        <a:blip r:embed="rId10"/>
        <a:stretch>
          <a:fillRect/>
        </a:stretch>
      </xdr:blipFill>
      <xdr:spPr>
        <a:xfrm>
          <a:off x="17480915" y="35282505"/>
          <a:ext cx="1959610" cy="643890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3" name="ID_6BAB14D970954C4A982D404A1A02D232"/>
        <xdr:cNvPicPr>
          <a:picLocks noChangeAspect="1"/>
        </xdr:cNvPicPr>
      </xdr:nvPicPr>
      <xdr:blipFill>
        <a:blip r:embed="rId11"/>
        <a:stretch>
          <a:fillRect/>
        </a:stretch>
      </xdr:blipFill>
      <xdr:spPr>
        <a:xfrm>
          <a:off x="17909540" y="43794680"/>
          <a:ext cx="1081405" cy="1227455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5" name="ID_002CAFA13D364F18A5A84079EF4EEC0A"/>
        <xdr:cNvPicPr>
          <a:picLocks noChangeAspect="1"/>
        </xdr:cNvPicPr>
      </xdr:nvPicPr>
      <xdr:blipFill>
        <a:blip r:embed="rId12"/>
        <a:stretch>
          <a:fillRect/>
        </a:stretch>
      </xdr:blipFill>
      <xdr:spPr>
        <a:xfrm>
          <a:off x="17933670" y="58096150"/>
          <a:ext cx="1054735" cy="1046480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9" name="ID_72610ED4B93444DCB0BE0F76760467C5"/>
        <xdr:cNvPicPr>
          <a:picLocks noChangeAspect="1"/>
        </xdr:cNvPicPr>
      </xdr:nvPicPr>
      <xdr:blipFill>
        <a:blip r:embed="rId12"/>
        <a:stretch>
          <a:fillRect/>
        </a:stretch>
      </xdr:blipFill>
      <xdr:spPr>
        <a:xfrm rot="5400000">
          <a:off x="17885410" y="67283965"/>
          <a:ext cx="704215" cy="702945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10" name="ID_484F8CC8F2054728823684F09C931950"/>
        <xdr:cNvPicPr>
          <a:picLocks noChangeAspect="1"/>
        </xdr:cNvPicPr>
      </xdr:nvPicPr>
      <xdr:blipFill>
        <a:blip r:embed="rId12"/>
        <a:stretch>
          <a:fillRect/>
        </a:stretch>
      </xdr:blipFill>
      <xdr:spPr>
        <a:xfrm rot="5400000">
          <a:off x="17933670" y="82796380"/>
          <a:ext cx="1007745" cy="1000125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14" name="ID_08B309C8464C4DFA8CFCD139918FB84A"/>
        <xdr:cNvPicPr>
          <a:picLocks noChangeAspect="1"/>
        </xdr:cNvPicPr>
      </xdr:nvPicPr>
      <xdr:blipFill>
        <a:blip r:embed="rId13"/>
        <a:stretch>
          <a:fillRect/>
        </a:stretch>
      </xdr:blipFill>
      <xdr:spPr>
        <a:xfrm>
          <a:off x="18047335" y="96062165"/>
          <a:ext cx="772795" cy="975360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11" name="ID_53EBF6ECEAF64AAFA0D08F70483E905E"/>
        <xdr:cNvPicPr>
          <a:picLocks noChangeAspect="1"/>
        </xdr:cNvPicPr>
      </xdr:nvPicPr>
      <xdr:blipFill>
        <a:blip r:embed="rId12"/>
        <a:stretch>
          <a:fillRect/>
        </a:stretch>
      </xdr:blipFill>
      <xdr:spPr>
        <a:xfrm>
          <a:off x="17934305" y="101262815"/>
          <a:ext cx="1054735" cy="104648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<sst xmlns="http://schemas.openxmlformats.org/spreadsheetml/2006/main" count="1615" uniqueCount="410">
  <si>
    <t>世纪梦想铝蜂窝芯防火板墙板项目报价表</t>
  </si>
  <si>
    <t>序号</t>
  </si>
  <si>
    <t>区域</t>
  </si>
  <si>
    <t>防火板型号、项目名称</t>
  </si>
  <si>
    <t>材料组成明细</t>
  </si>
  <si>
    <t>单位</t>
  </si>
  <si>
    <t>数量</t>
  </si>
  <si>
    <t>使用位置</t>
  </si>
  <si>
    <t>图纸图号</t>
  </si>
  <si>
    <t>综合单价
（含税：元）</t>
  </si>
  <si>
    <t>合计（元）</t>
  </si>
  <si>
    <t>备注</t>
  </si>
  <si>
    <t>A标段客房区域</t>
  </si>
  <si>
    <t>1F主甲板</t>
  </si>
  <si>
    <t>中医理疗室</t>
  </si>
  <si>
    <t>富美家 6444 LM</t>
  </si>
  <si>
    <t>10mm铝蜂窝芯+双面0.8mm铝板+0.7mm防火板</t>
  </si>
  <si>
    <t>m²</t>
  </si>
  <si>
    <t>理疗室背景墙</t>
  </si>
  <si>
    <t>E-01-2/DY-01-D</t>
  </si>
  <si>
    <t>富美家 9312 NG</t>
  </si>
  <si>
    <t>18mm多层板芯+0.7mm防火板</t>
  </si>
  <si>
    <t>理疗室窗帘盒底板</t>
  </si>
  <si>
    <t>P-03</t>
  </si>
  <si>
    <t>理疗室背景墙/窗帘盒侧板</t>
  </si>
  <si>
    <t>E-01-2/DY-01-C</t>
  </si>
  <si>
    <t>18mm铝蜂窝芯+双面0.8mm铝板+双层0.7mm防火板</t>
  </si>
  <si>
    <t>理疗室窗帘盒</t>
  </si>
  <si>
    <t>E-01-1/DY-01-C</t>
  </si>
  <si>
    <t>双面贴防火板</t>
  </si>
  <si>
    <t>理疗室墙面</t>
  </si>
  <si>
    <t>E-01-4</t>
  </si>
  <si>
    <t>拉槽板竖向5mm（缝隙为防火板同色PVC收口条）</t>
  </si>
  <si>
    <t>富美家 0929</t>
  </si>
  <si>
    <t>理疗室造型墙面</t>
  </si>
  <si>
    <t>E-02-4/DY-01-A</t>
  </si>
  <si>
    <t>踢脚线</t>
  </si>
  <si>
    <t>1.2mm厚玫瑰金</t>
  </si>
  <si>
    <t>m</t>
  </si>
  <si>
    <t>10*50mm</t>
  </si>
  <si>
    <t>不锈钢收口条</t>
  </si>
  <si>
    <t>1.2mm厚玫瑰金（20*20mm）</t>
  </si>
  <si>
    <t>墙面造型</t>
  </si>
  <si>
    <t>1.2mm厚玫瑰金（5*20mm）</t>
  </si>
  <si>
    <t>1.2mm厚玫瑰金（10*30mm）</t>
  </si>
  <si>
    <t>窗帘盒收边</t>
  </si>
  <si>
    <t>DY-01-C</t>
  </si>
  <si>
    <t>按摩室</t>
  </si>
  <si>
    <t>按摩室墙面</t>
  </si>
  <si>
    <t>E-02-4</t>
  </si>
  <si>
    <t>按摩室窗帘盒底板</t>
  </si>
  <si>
    <t>按摩室窗帘盒</t>
  </si>
  <si>
    <t>DY-01-D</t>
  </si>
  <si>
    <t>18mm铝蜂窝芯+双面0.8mm铝板+双面0.7mm防火板</t>
  </si>
  <si>
    <t>E-01-1/DY-01-D</t>
  </si>
  <si>
    <t>铝方通长城板木纹转印</t>
  </si>
  <si>
    <t>30*30mm*1.2mm间距30mm</t>
  </si>
  <si>
    <t>按摩室天棚及墙面</t>
  </si>
  <si>
    <t>P-03/E-01-2/E-02-3</t>
  </si>
  <si>
    <t>同长城板木纹转印</t>
  </si>
  <si>
    <t>按摩室天棚灯槽</t>
  </si>
  <si>
    <t>P-03/D-01-A</t>
  </si>
  <si>
    <t>灯带立板需双面贴防火板</t>
  </si>
  <si>
    <t>浴足室</t>
  </si>
  <si>
    <t>浴足室窗帘盒底板</t>
  </si>
  <si>
    <t>P-02</t>
  </si>
  <si>
    <t>浴足室窗帘盒</t>
  </si>
  <si>
    <t>浴足室墙面</t>
  </si>
  <si>
    <t>E-01-2/E-02-4</t>
  </si>
  <si>
    <t>黑色防火板</t>
  </si>
  <si>
    <t>电视机背板</t>
  </si>
  <si>
    <t>儿童乐园</t>
  </si>
  <si>
    <t>万美士 W3396</t>
  </si>
  <si>
    <t>儿童乐园墙面</t>
  </si>
  <si>
    <t>E-02-3</t>
  </si>
  <si>
    <t>富美家  7846 NM</t>
  </si>
  <si>
    <t>E-01-1</t>
  </si>
  <si>
    <t>1.2mm厚黑钛拉丝不锈钢踢脚线</t>
  </si>
  <si>
    <t>棋牌室1</t>
  </si>
  <si>
    <t>棋牌室墙面</t>
  </si>
  <si>
    <t>E-01-1/2/3/4</t>
  </si>
  <si>
    <t>万美士  竹韵/DG033-RT</t>
  </si>
  <si>
    <t>棋牌室扶手灯带造型</t>
  </si>
  <si>
    <t>E-01-1/E-02-3/DY-01-B</t>
  </si>
  <si>
    <t>棋牌室2</t>
  </si>
  <si>
    <t>E-05-6/E-06-07/08</t>
  </si>
  <si>
    <t>棋牌室垭口</t>
  </si>
  <si>
    <t>E-05-6/E-06-08</t>
  </si>
  <si>
    <t>需双面贴防火板</t>
  </si>
  <si>
    <t>棋牌室窗帘盒底板</t>
  </si>
  <si>
    <t>P-07</t>
  </si>
  <si>
    <t>E-05-6/E-06-08/DY-01-B</t>
  </si>
  <si>
    <t>1.2mm厚黑钛拉丝不锈钢（10*30mm）</t>
  </si>
  <si>
    <t>棋牌室3</t>
  </si>
  <si>
    <t>E-03-1/2/E-04-2/4</t>
  </si>
  <si>
    <t>E-03-1/E-04-03</t>
  </si>
  <si>
    <t>E-03-2/E-04-04/DY-01-B</t>
  </si>
  <si>
    <t>健身房</t>
  </si>
  <si>
    <t>富美家 7846 NM</t>
  </si>
  <si>
    <t>窗帘盒底板</t>
  </si>
  <si>
    <t>窗户一侧墙面及柱子造型</t>
  </si>
  <si>
    <t>E-01-3</t>
  </si>
  <si>
    <t>富美家 0909</t>
  </si>
  <si>
    <t>柱子造型</t>
  </si>
  <si>
    <t>E-02-5</t>
  </si>
  <si>
    <t>入口墙面</t>
  </si>
  <si>
    <t>E-01-1/E-02-2/4</t>
  </si>
  <si>
    <t>1.2mm厚黑钛拉丝不锈钢（15*30mm）</t>
  </si>
  <si>
    <t>1.2mm厚黑钛拉丝不锈钢（30*30mm）</t>
  </si>
  <si>
    <t>洗手台两侧墙面收口条</t>
  </si>
  <si>
    <t>3F游步甲板</t>
  </si>
  <si>
    <t>行政酒廊</t>
  </si>
  <si>
    <t>富美家 5966 OG</t>
  </si>
  <si>
    <t>3F-P-05</t>
  </si>
  <si>
    <t>墙面</t>
  </si>
  <si>
    <t>立面图</t>
  </si>
  <si>
    <t>富美家 8826 LM</t>
  </si>
  <si>
    <t>船艏窗帘盒底板</t>
  </si>
  <si>
    <t>船艏柱子/地梁</t>
  </si>
  <si>
    <t>E-03-3</t>
  </si>
  <si>
    <t>男公共卫生间</t>
  </si>
  <si>
    <t>富美家  0871  OG</t>
  </si>
  <si>
    <t>马桶背后墙面</t>
  </si>
  <si>
    <t>国产黑色防火板+富美家 S213 ST</t>
  </si>
  <si>
    <t>10mm铝蜂窝芯+双面0.8mm铝板+双层0.7mm防火板</t>
  </si>
  <si>
    <t>卫生间墙面</t>
  </si>
  <si>
    <t>水缝板</t>
  </si>
  <si>
    <t>1.2mm玫瑰金拉丝不锈钢</t>
  </si>
  <si>
    <t>10*40mm</t>
  </si>
  <si>
    <t>1.2mm厚玫瑰金收口条（5*10）</t>
  </si>
  <si>
    <t>女公共卫生间</t>
  </si>
  <si>
    <t>4F娱乐甲板</t>
  </si>
  <si>
    <t>走道</t>
  </si>
  <si>
    <t>万美士  2892-43 NT</t>
  </si>
  <si>
    <t>10mm铝蜂窝</t>
  </si>
  <si>
    <t>㎡</t>
  </si>
  <si>
    <t>走道FR102墙面</t>
  </si>
  <si>
    <t>首部窗帘盒底板</t>
  </si>
  <si>
    <t>4F-P-05</t>
  </si>
  <si>
    <t>艏部柱子\地梁</t>
  </si>
  <si>
    <t>6F阳光甲板</t>
  </si>
  <si>
    <t>客房过道</t>
  </si>
  <si>
    <t>45mm宽 18mm多层板芯+0.7mm防火板</t>
  </si>
  <si>
    <t>墙裙顶板</t>
  </si>
  <si>
    <t>立面图、DT-10-3</t>
  </si>
  <si>
    <t>宽度45mm、墙裙压线</t>
  </si>
  <si>
    <t>墙裙造型</t>
  </si>
  <si>
    <t>墙裙</t>
  </si>
  <si>
    <t>客区卫生间（装饰门）</t>
  </si>
  <si>
    <t>客房男公共卫生间</t>
  </si>
  <si>
    <t>双面18mm多层板+9mm隔音棉+双面0.7mm防火板</t>
  </si>
  <si>
    <t>樘</t>
  </si>
  <si>
    <t>3F客区男公共卫生间门</t>
  </si>
  <si>
    <t>含门套、五金配件</t>
  </si>
  <si>
    <t>客房女公共卫生间</t>
  </si>
  <si>
    <t>3F客区女公共卫生间门</t>
  </si>
  <si>
    <t>总统套房688</t>
  </si>
  <si>
    <t>万美士 2892-43 NT</t>
  </si>
  <si>
    <t>总统套房666</t>
  </si>
  <si>
    <t>B标段公共区域</t>
  </si>
  <si>
    <t>B1底舱</t>
  </si>
  <si>
    <t>电影院</t>
  </si>
  <si>
    <t>威盛亚 4117-WM</t>
  </si>
  <si>
    <t>舞台区墙面</t>
  </si>
  <si>
    <t>E-04-D/E-03-C</t>
  </si>
  <si>
    <t>威盛亚 4117-WM （检修门）</t>
  </si>
  <si>
    <t>20mm铝蜂窝芯+双面0.8mm铝板+0.7mm防火板</t>
  </si>
  <si>
    <t>个</t>
  </si>
  <si>
    <t>E-05-E/E-09-J/E-02-B</t>
  </si>
  <si>
    <t>含检修门内铝蜂窝板封边
，门锁、五金等（其他检
修门参考此节点）</t>
  </si>
  <si>
    <t>国产黑色防火板+威盛亚4117-WM</t>
  </si>
  <si>
    <t>电影院墙面</t>
  </si>
  <si>
    <t>E-10-A/C</t>
  </si>
  <si>
    <t>国产黑色防火板+威盛亚4117-WM（检修门）</t>
  </si>
  <si>
    <t>20mm铝蜂窝芯+双面0.8mm铝板+双层0.7mm防火板</t>
  </si>
  <si>
    <t>含检修门内铝蜂窝板封边，门锁、五金等</t>
  </si>
  <si>
    <t>威盛亚 4117-WM （回风口）</t>
  </si>
  <si>
    <t>10mm铝蜂窝芯+双面0.8mm铝板+0.7mm防火板，冲孔φ5mm</t>
  </si>
  <si>
    <t>E-4-D</t>
  </si>
  <si>
    <t>定制成品造型，现场安装</t>
  </si>
  <si>
    <t>威盛亚 4117-WM 冲孔板成品造型</t>
  </si>
  <si>
    <t>10mm铝蜂窝芯+双面0.8mm铝板+0.7mm防火板，800*400*50mm 冲孔φ5mm（造型上下同材质封边）</t>
  </si>
  <si>
    <t>E-10-A/C / DY-02-2</t>
  </si>
  <si>
    <t>威盛亚 4117-WM 门套</t>
  </si>
  <si>
    <t>E-10-A/C / E-02-B</t>
  </si>
  <si>
    <t>玫瑰金拉丝不锈钢踢脚线</t>
  </si>
  <si>
    <t>40*10*1.2mm 成品挂板安装</t>
  </si>
  <si>
    <t>中庭</t>
  </si>
  <si>
    <t>中庭墙面/通往电影院走道墙面</t>
  </si>
  <si>
    <t>E-01~E-04</t>
  </si>
  <si>
    <t>富美家  0871  OG 双开装饰门+门套</t>
  </si>
  <si>
    <t>门套：10mm铝蜂窝芯+双面0.8mm铝板+0.7mm防火板
门扇：双面18mm多层板+9mm隔音棉+双面0.7mm防火板（含侧面包边，门扇双向开启）</t>
  </si>
  <si>
    <t>中庭墙面</t>
  </si>
  <si>
    <t>E-01-02</t>
  </si>
  <si>
    <t>含门锁、五金等；多层板CCS认证</t>
  </si>
  <si>
    <t>富美家  0871  OG 门套</t>
  </si>
  <si>
    <t>E-01-02/E-03-05</t>
  </si>
  <si>
    <t>富美家  0871  OG 检修门</t>
  </si>
  <si>
    <t>E-01/02</t>
  </si>
  <si>
    <t>富美家 3460 G</t>
  </si>
  <si>
    <t>E-02-04</t>
  </si>
  <si>
    <t>E-03-05/06</t>
  </si>
  <si>
    <t>多层板CCS认证</t>
  </si>
  <si>
    <t>威盛亚 D96 WM</t>
  </si>
  <si>
    <t>中庭通往公卫走道墙面</t>
  </si>
  <si>
    <t>威盛亚 D96 WM 装饰门+门套</t>
  </si>
  <si>
    <t>门套：10mm铝蜂窝芯+双面0.8mm铝板+0.7mm防火板
门扇：双面18mm多层板+9mm隔音棉+双面0.7mm防火板（含侧面包边）</t>
  </si>
  <si>
    <t>E-01-02/E-02-03</t>
  </si>
  <si>
    <t>公共卫生间</t>
  </si>
  <si>
    <t>国产黑色防火板+威盛亚S213-ST 双层</t>
  </si>
  <si>
    <t>公卫墙面</t>
  </si>
  <si>
    <t>E-01~E-02</t>
  </si>
  <si>
    <t>国产黑色防火板+威盛亚S213-ST 双层 检修门</t>
  </si>
  <si>
    <t>E-01-B/E-02-B</t>
  </si>
  <si>
    <t>（水缝板）检修门内铝蜂窝板封边，门锁、五金等</t>
  </si>
  <si>
    <t>威盛亚  S213-ST 门套</t>
  </si>
  <si>
    <t>E-01-A/E-02-D</t>
  </si>
  <si>
    <t>公卫座便器背景墙</t>
  </si>
  <si>
    <t>40*10mm</t>
  </si>
  <si>
    <t>玫瑰金拉丝不锈钢条</t>
  </si>
  <si>
    <t>5mm*10mm，1.2mm厚</t>
  </si>
  <si>
    <t>国产黑色防火板+富美家 0871 OG 双层</t>
  </si>
  <si>
    <t>E-01-03</t>
  </si>
  <si>
    <t>富美家 0871 OG 门套</t>
  </si>
  <si>
    <t>E-01-01</t>
  </si>
  <si>
    <t>富美家 0871 OG</t>
  </si>
  <si>
    <t>E-01-01/02 / E-02-04</t>
  </si>
  <si>
    <t>富美家 0871 OG 检修门</t>
  </si>
  <si>
    <t>E-02-04/E-01-03</t>
  </si>
  <si>
    <t>不含不锈钢踢脚线</t>
  </si>
  <si>
    <t>富美家 3460 G 门套</t>
  </si>
  <si>
    <t>E-02-05/06</t>
  </si>
  <si>
    <t>5mm*10mm宽，1.2mm厚</t>
  </si>
  <si>
    <t>中庭背景墙</t>
  </si>
  <si>
    <t>E-01-D</t>
  </si>
  <si>
    <t>（水缝板）含检修门内铝蜂窝板封边，门锁、五金等</t>
  </si>
  <si>
    <t>E-01-A/E-02-B</t>
  </si>
  <si>
    <t>E-01-D/E-02-C</t>
  </si>
  <si>
    <t>电梯轿厢</t>
  </si>
  <si>
    <t>富美家  0784L</t>
  </si>
  <si>
    <t>电梯轿厢左右壁</t>
  </si>
  <si>
    <t>E-01-01/02</t>
  </si>
  <si>
    <t>不含不锈钢踢脚线；铝蜂窝芯基层加强，频繁防撞要求。</t>
  </si>
  <si>
    <t>2F上甲板</t>
  </si>
  <si>
    <t>国产黑色防火板+富美家0871 OG 双层</t>
  </si>
  <si>
    <t>中庭客区侧墙面</t>
  </si>
  <si>
    <t>E-02-02</t>
  </si>
  <si>
    <t>富美家  0871 OG</t>
  </si>
  <si>
    <t>中庭背景墙侧墙面</t>
  </si>
  <si>
    <t>E-01-01/E-05-08</t>
  </si>
  <si>
    <t>富美家  0871 OG 门套</t>
  </si>
  <si>
    <t>富美家  0871 OG 装饰暗门+门套</t>
  </si>
  <si>
    <t>富美家  0871 OG 检修门</t>
  </si>
  <si>
    <t>E-05-08</t>
  </si>
  <si>
    <t>E-02~05 / D.1.02-6</t>
  </si>
  <si>
    <t>中庭墙面/窗帘盒</t>
  </si>
  <si>
    <t>20mm铝蜂窝芯+双面0.8mm铝板+双面0.7mm防火板</t>
  </si>
  <si>
    <t>18mm多层板芯+双面0.7mm防火板</t>
  </si>
  <si>
    <t>中庭窗帘盒</t>
  </si>
  <si>
    <t>E-02~05</t>
  </si>
  <si>
    <t>中庭电梯侧墙面</t>
  </si>
  <si>
    <t>富美家 2770 NT</t>
  </si>
  <si>
    <t>E-03/04 / D.1.02-6</t>
  </si>
  <si>
    <t>/</t>
  </si>
  <si>
    <t>富美家 定制装饰画</t>
  </si>
  <si>
    <t>E-03/04</t>
  </si>
  <si>
    <t>玫瑰金拉丝不锈钢收边条</t>
  </si>
  <si>
    <t>30*10*1.2mm</t>
  </si>
  <si>
    <t>公共卫生间(男）</t>
  </si>
  <si>
    <t>E-01-01~05</t>
  </si>
  <si>
    <t>E-01-04</t>
  </si>
  <si>
    <t>富美家  0871  OG 双面 隔断</t>
  </si>
  <si>
    <t>公卫隔断墙板</t>
  </si>
  <si>
    <t>含型材收边条,五金等</t>
  </si>
  <si>
    <t>富美家  0871  OG 双面 隔断门</t>
  </si>
  <si>
    <t>含型材收边条,门锁、五金等</t>
  </si>
  <si>
    <t>富美家  0871  OG 双面 小便斗隔断</t>
  </si>
  <si>
    <t>公共卫生间(女）</t>
  </si>
  <si>
    <t>E-01-05</t>
  </si>
  <si>
    <t>男女公卫墙面/隔断板</t>
  </si>
  <si>
    <t>环球舟厨主餐厅</t>
  </si>
  <si>
    <t>富美家 8806 OG</t>
  </si>
  <si>
    <t>2F主餐厅艉侧墙面</t>
  </si>
  <si>
    <t>E-03</t>
  </si>
  <si>
    <t>富美家 8806 OG 门套</t>
  </si>
  <si>
    <t>富美家 9483 G</t>
  </si>
  <si>
    <t>2F主餐厅中厅侧墙面</t>
  </si>
  <si>
    <t>E-01/E-05</t>
  </si>
  <si>
    <t>富美家 9483 G 检修门</t>
  </si>
  <si>
    <t>E-05-05</t>
  </si>
  <si>
    <t>含检修门内铝蜂窝基层板封边，门锁、五金等</t>
  </si>
  <si>
    <t>富美家 9483 G 门套</t>
  </si>
  <si>
    <t>2F主餐厅窗帘盒</t>
  </si>
  <si>
    <t>外露侧边封边；多层板CCS认证</t>
  </si>
  <si>
    <t>2F主餐厅左右舷墙面</t>
  </si>
  <si>
    <t>E-01/E-02</t>
  </si>
  <si>
    <t>富美家  0909</t>
  </si>
  <si>
    <t>2F主餐厅墙面</t>
  </si>
  <si>
    <t>枪灰色拉丝不锈钢踢脚线</t>
  </si>
  <si>
    <t>枪灰色拉丝不锈钢条</t>
  </si>
  <si>
    <t>枪灰色拉丝不锈钢收边条</t>
  </si>
  <si>
    <t>E-01/03/04</t>
  </si>
  <si>
    <t>立板纹理方向45°斜拼</t>
  </si>
  <si>
    <t>国产黑色防火板+富美家0871 OG 双层 检修门</t>
  </si>
  <si>
    <t>E-02/05</t>
  </si>
  <si>
    <t>E-04-04</t>
  </si>
  <si>
    <t>餐区侧墙面</t>
  </si>
  <si>
    <t>环球舟厨主餐厅/火锅厅</t>
  </si>
  <si>
    <t>3F主餐厅艉侧墙面</t>
  </si>
  <si>
    <t>E-03/E-05</t>
  </si>
  <si>
    <t>3F火锅厅墙面</t>
  </si>
  <si>
    <t>E-06-09/11</t>
  </si>
  <si>
    <t>3F主餐厅中厅侧墙面</t>
  </si>
  <si>
    <t>富美家 0992 KL</t>
  </si>
  <si>
    <t>3F主餐厅</t>
  </si>
  <si>
    <t>火锅厅墙面</t>
  </si>
  <si>
    <t>E-07</t>
  </si>
  <si>
    <t>富美家 0992 KL 装饰暗门+门套</t>
  </si>
  <si>
    <t>含不锈钢拉手、五金等;多层板CCS认证</t>
  </si>
  <si>
    <t>国产黑色防火板+富美家2046 NM 双层</t>
  </si>
  <si>
    <t>E-06/07</t>
  </si>
  <si>
    <t>3F主餐厅窗帘盒</t>
  </si>
  <si>
    <t>18mm多层板芯+0.7mm防火板（外露边封边）</t>
  </si>
  <si>
    <t>3F主餐厅左右舷墙面</t>
  </si>
  <si>
    <t>3F主餐厅墙面</t>
  </si>
  <si>
    <t>20mm铝蜂窝芯+双面0.8mm铝板+双面0.7mm防火板
玫瑰金拉丝不锈钢条5mm宽，1.2mm厚</t>
  </si>
  <si>
    <t>不含不锈钢踢脚;立板纹理方向45°斜拼</t>
  </si>
  <si>
    <t>富美家 3460 G 风口</t>
  </si>
  <si>
    <t>E-02/03/04</t>
  </si>
  <si>
    <t>威盛亚  S213-ST</t>
  </si>
  <si>
    <t>公卫窗帘盒</t>
  </si>
  <si>
    <t>10mm铝蜂窝芯+双面0.8mm铝板+双面0.7mm防火板</t>
  </si>
  <si>
    <t>E-01-04/E-02-04</t>
  </si>
  <si>
    <t>云帆阁VIP餐厅/VIP包房</t>
  </si>
  <si>
    <t>富美家 5968 OG（VIP餐厅）</t>
  </si>
  <si>
    <t>4FVIP餐厅墙面</t>
  </si>
  <si>
    <t>E-03/04/05</t>
  </si>
  <si>
    <t>4FVIP餐厅窗帘盒、包柱</t>
  </si>
  <si>
    <t>E-01/02 D.1.02-6</t>
  </si>
  <si>
    <t>4FVIP餐厅、VIP包房</t>
  </si>
  <si>
    <t>E-05/07</t>
  </si>
  <si>
    <t>富美家 5968 OG（VIP包房）</t>
  </si>
  <si>
    <t>4FVIP包房墙面</t>
  </si>
  <si>
    <t>阳角实木线条（45*50mm）</t>
  </si>
  <si>
    <t>4FVIP包房隔断</t>
  </si>
  <si>
    <t>E-07-10</t>
  </si>
  <si>
    <t>平板实木线条（50*20mm）</t>
  </si>
  <si>
    <t>4FVIP包房窗帘盒、包柱</t>
  </si>
  <si>
    <t>E-06-08</t>
  </si>
  <si>
    <t>4FVIP包房窗帘盒</t>
  </si>
  <si>
    <t>4FVIP餐厅、包房</t>
  </si>
  <si>
    <t>D.1.02-6</t>
  </si>
  <si>
    <t>富美家 5968 OG
+皮革硬包 铭田（DIA-076554)</t>
  </si>
  <si>
    <t>18mm多层板芯+0.7mm防火板/皮革硬包
(防火板+皮革硬包拼花造型）
玫瑰金拉丝不锈钢+6mm银镜造型</t>
  </si>
  <si>
    <t>项</t>
  </si>
  <si>
    <t>E-07-09</t>
  </si>
  <si>
    <t>富美家 5968 OG 冲孔板</t>
  </si>
  <si>
    <t>富美家 5968 OG 门套</t>
  </si>
  <si>
    <t>富美家 5968 OG 检修门</t>
  </si>
  <si>
    <t>富美家 5968 OG 装饰暗门+门套</t>
  </si>
  <si>
    <t>门套：10mm铝蜂窝芯+双面0.8mm铝板+0.7mm防火板
门扇：双面18mm多层板+9mm隔音棉+双面0.7mm防火板（含侧面包边）
门扇夹艺术玻璃0.63*1.83米</t>
  </si>
  <si>
    <t>VIP包房墙面</t>
  </si>
  <si>
    <t>含不锈钢拉手、五金、
艺术玻璃等；
多层板CCS认证</t>
  </si>
  <si>
    <t>E-05-06</t>
  </si>
  <si>
    <t>皮革硬包 铭田（DIA-076554)</t>
  </si>
  <si>
    <t>18mm多层板芯+皮革硬包</t>
  </si>
  <si>
    <t>4FVIP餐厅、包房墙面</t>
  </si>
  <si>
    <t>E-01/02/06</t>
  </si>
  <si>
    <t>富美家 黑色+9365 L 双层</t>
  </si>
  <si>
    <t>富美家 9365 L 门套</t>
  </si>
  <si>
    <t>E-03/05</t>
  </si>
  <si>
    <t>5F驾驶甲板</t>
  </si>
  <si>
    <t>E-02-03</t>
  </si>
  <si>
    <t>E-01~04</t>
  </si>
  <si>
    <t>E-01</t>
  </si>
  <si>
    <t>E-02/03</t>
  </si>
  <si>
    <t>国产黑色防火板+富美家0871 OG 检修门</t>
  </si>
  <si>
    <t>E-02</t>
  </si>
  <si>
    <t>E-02/04</t>
  </si>
  <si>
    <t>中庭通往KTV走道墙面</t>
  </si>
  <si>
    <t>KTV</t>
  </si>
  <si>
    <t>KTV墙面</t>
  </si>
  <si>
    <t>E-01~08</t>
  </si>
  <si>
    <t>E-03/07</t>
  </si>
  <si>
    <t>皮革软包 铭田（ZAN-3125)</t>
  </si>
  <si>
    <t>18mm多层板芯+40mm防火海绵+吸音皮革软包</t>
  </si>
  <si>
    <t>E-01/03</t>
  </si>
  <si>
    <t>黑钛拉丝不锈钢踢脚线</t>
  </si>
  <si>
    <t>10mm*10mm，1.2mm厚</t>
  </si>
  <si>
    <t>VISTA BAR 酒吧</t>
  </si>
  <si>
    <t>富美家 8848 NT</t>
  </si>
  <si>
    <t>5F酒吧墙面</t>
  </si>
  <si>
    <t>5F酒吧窗帘盒</t>
  </si>
  <si>
    <t>富美家 8848 NT 冲孔板</t>
  </si>
  <si>
    <t>富美家 8848 NT 检修门</t>
  </si>
  <si>
    <t>富美家 8848 NT 门套</t>
  </si>
  <si>
    <t>富美家 9001 NT</t>
  </si>
  <si>
    <t>富美家 9001 NT 冲孔板</t>
  </si>
  <si>
    <t>E-04</t>
  </si>
  <si>
    <t>富美家 9001 NT 门套</t>
  </si>
  <si>
    <t>富美家 9001 NT 检修门</t>
  </si>
  <si>
    <t>20mm铝蜂窝芯+双面0.8mm铝板+0.7mm防火板
黑钛拉丝不锈钢双包边5mm宽，1.2mm厚</t>
  </si>
  <si>
    <t>皮革硬包 铭田（CHA-1532)
+富美家 8848 NT</t>
  </si>
  <si>
    <t>背面0.7mm防火板+18mm多层板芯+正面皮革硬包</t>
  </si>
  <si>
    <t>实木收边条</t>
  </si>
  <si>
    <t>40*28mm</t>
  </si>
  <si>
    <t>4FVIP包房</t>
  </si>
  <si>
    <t>富美家  0871 OG 冲孔板</t>
  </si>
  <si>
    <t>税率：</t>
  </si>
  <si>
    <t>备注：1、本单价为综合含税单价，数量待定，根据现场实际情况生产据实结算；
2、由乙方负责装车运输至施工现场，甲方在现场根据乙方当批材料的发货清单据实收货并办理入库；
3、乙方与甲方指定施工单位须做好设计、配合测量、出图、下单的配合工作，不得推逶影响甲方工期。
4、包含增值税13%的税率。
5、乙方须提供样板封样，在大面积生产加工前，须在施工现场实地制作、安装一套样板区。包含：平板拼缝、阳角收口效果、整个完整门套，经确定后再大面积施工。
6、铝蜂窝板表面不允许有凹凸不平、气泡、划伤、污渍；板边应平直，四边无锯齿缺口；单色表面色泽应均匀，无明显色差。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</si>
</sst>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6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8"/>
      <color theme="1"/>
      <name val="宋体"/>
      <charset val="134"/>
      <scheme val="minor"/>
    </font>
    <font>
      <b/>
      <sz val="18"/>
      <color theme="1"/>
      <name val="微软雅黑"/>
      <charset val="134"/>
    </font>
    <font>
      <b/>
      <sz val="12"/>
      <color theme="1"/>
      <name val="宋体"/>
      <charset val="134"/>
      <scheme val="minor"/>
    </font>
    <font>
      <b/>
      <sz val="12"/>
      <color theme="1"/>
      <name val="微软雅黑"/>
      <charset val="134"/>
    </font>
    <font>
      <b/>
      <sz val="16"/>
      <name val="宋体"/>
      <charset val="134"/>
      <scheme val="minor"/>
    </font>
    <font>
      <b/>
      <sz val="16"/>
      <name val="微软雅黑"/>
      <charset val="134"/>
    </font>
    <font>
      <b/>
      <sz val="11"/>
      <name val="宋体"/>
      <charset val="134"/>
      <scheme val="minor"/>
    </font>
    <font>
      <b/>
      <sz val="20"/>
      <color rgb="FFFF0000"/>
      <name val="宋体"/>
      <charset val="134"/>
      <scheme val="minor"/>
    </font>
    <font>
      <b/>
      <sz val="20"/>
      <color rgb="FFFF0000"/>
      <name val="微软雅黑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微软雅黑"/>
      <charset val="134"/>
    </font>
    <font>
      <sz val="10"/>
      <name val="宋体"/>
      <charset val="134"/>
      <scheme val="minor"/>
    </font>
    <font>
      <b/>
      <sz val="11"/>
      <color theme="1"/>
      <name val="微软雅黑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5" applyNumberFormat="0" applyAlignment="0" applyProtection="0">
      <alignment vertical="center"/>
    </xf>
    <xf numFmtId="0" fontId="26" fillId="5" borderId="16" applyNumberFormat="0" applyAlignment="0" applyProtection="0">
      <alignment vertical="center"/>
    </xf>
    <xf numFmtId="0" fontId="27" fillId="5" borderId="15" applyNumberFormat="0" applyAlignment="0" applyProtection="0">
      <alignment vertical="center"/>
    </xf>
    <xf numFmtId="0" fontId="28" fillId="6" borderId="17" applyNumberFormat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176" fontId="9" fillId="0" borderId="5" xfId="0" applyNumberFormat="1" applyFont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2" fillId="0" borderId="6" xfId="0" applyFont="1" applyBorder="1">
      <alignment vertical="center"/>
    </xf>
    <xf numFmtId="0" fontId="0" fillId="0" borderId="6" xfId="0" applyBorder="1">
      <alignment vertical="center"/>
    </xf>
    <xf numFmtId="0" fontId="0" fillId="0" borderId="0" xfId="0" applyFont="1" applyFill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0" fontId="11" fillId="2" borderId="6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center" wrapText="1"/>
    </xf>
    <xf numFmtId="0" fontId="15" fillId="2" borderId="6" xfId="0" applyFont="1" applyFill="1" applyBorder="1" applyAlignment="1">
      <alignment horizontal="left" vertical="center"/>
    </xf>
    <xf numFmtId="176" fontId="11" fillId="2" borderId="6" xfId="0" applyNumberFormat="1" applyFont="1" applyFill="1" applyBorder="1" applyAlignment="1">
      <alignment horizontal="left" vertical="center"/>
    </xf>
    <xf numFmtId="0" fontId="12" fillId="0" borderId="6" xfId="0" applyFont="1" applyBorder="1" applyAlignment="1">
      <alignment vertical="center" wrapText="1"/>
    </xf>
    <xf numFmtId="176" fontId="12" fillId="0" borderId="6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176" fontId="12" fillId="0" borderId="6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0" fontId="16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2" fillId="0" borderId="9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9" Type="http://schemas.openxmlformats.org/officeDocument/2006/relationships/image" Target="media/image11.png"/><Relationship Id="rId8" Type="http://schemas.openxmlformats.org/officeDocument/2006/relationships/image" Target="media/image10.png"/><Relationship Id="rId7" Type="http://schemas.openxmlformats.org/officeDocument/2006/relationships/image" Target="media/image9.png"/><Relationship Id="rId6" Type="http://schemas.openxmlformats.org/officeDocument/2006/relationships/image" Target="media/image8.png"/><Relationship Id="rId5" Type="http://schemas.openxmlformats.org/officeDocument/2006/relationships/image" Target="media/image7.png"/><Relationship Id="rId4" Type="http://schemas.openxmlformats.org/officeDocument/2006/relationships/image" Target="NULL" TargetMode="External"/><Relationship Id="rId3" Type="http://schemas.openxmlformats.org/officeDocument/2006/relationships/image" Target="media/image6.png"/><Relationship Id="rId2" Type="http://schemas.openxmlformats.org/officeDocument/2006/relationships/image" Target="media/image5.png"/><Relationship Id="rId13" Type="http://schemas.openxmlformats.org/officeDocument/2006/relationships/image" Target="media/image15.png"/><Relationship Id="rId12" Type="http://schemas.openxmlformats.org/officeDocument/2006/relationships/image" Target="media/image14.png"/><Relationship Id="rId11" Type="http://schemas.openxmlformats.org/officeDocument/2006/relationships/image" Target="media/image13.png"/><Relationship Id="rId10" Type="http://schemas.openxmlformats.org/officeDocument/2006/relationships/image" Target="media/image12.png"/><Relationship Id="rId1" Type="http://schemas.openxmlformats.org/officeDocument/2006/relationships/image" Target="media/image4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10</xdr:col>
      <xdr:colOff>1263650</xdr:colOff>
      <xdr:row>99</xdr:row>
      <xdr:rowOff>24765</xdr:rowOff>
    </xdr:from>
    <xdr:to>
      <xdr:col>11</xdr:col>
      <xdr:colOff>99695</xdr:colOff>
      <xdr:row>99</xdr:row>
      <xdr:rowOff>1294130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95250" y="34067115"/>
          <a:ext cx="836295" cy="12693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10</xdr:col>
      <xdr:colOff>1572260</xdr:colOff>
      <xdr:row>264</xdr:row>
      <xdr:rowOff>363855</xdr:rowOff>
    </xdr:from>
    <xdr:to>
      <xdr:col>11</xdr:col>
      <xdr:colOff>116205</xdr:colOff>
      <xdr:row>265</xdr:row>
      <xdr:rowOff>1169035</xdr:rowOff>
    </xdr:to>
    <xdr:pic>
      <xdr:nvPicPr>
        <xdr:cNvPr id="13" name="图片 1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3103860" y="98998405"/>
          <a:ext cx="544195" cy="11734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10</xdr:col>
      <xdr:colOff>870585</xdr:colOff>
      <xdr:row>318</xdr:row>
      <xdr:rowOff>45720</xdr:rowOff>
    </xdr:from>
    <xdr:to>
      <xdr:col>11</xdr:col>
      <xdr:colOff>106045</xdr:colOff>
      <xdr:row>318</xdr:row>
      <xdr:rowOff>1092200</xdr:rowOff>
    </xdr:to>
    <xdr:pic>
      <xdr:nvPicPr>
        <xdr:cNvPr id="16" name="图片 1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2402185" y="120346470"/>
          <a:ext cx="1235710" cy="10464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39"/>
  <sheetViews>
    <sheetView tabSelected="1" zoomScale="145" zoomScaleNormal="145" workbookViewId="0">
      <pane ySplit="2" topLeftCell="A329" activePane="bottomLeft" state="frozen"/>
      <selection/>
      <selection pane="bottomLeft" activeCell="A339" sqref="A339:K339"/>
    </sheetView>
  </sheetViews>
  <sheetFormatPr defaultColWidth="9" defaultRowHeight="16.5"/>
  <cols>
    <col min="1" max="1" width="6.625" style="1" customWidth="1"/>
    <col min="2" max="2" width="7.33333333333333" customWidth="1"/>
    <col min="3" max="3" width="22.9583333333333" style="4" customWidth="1"/>
    <col min="4" max="4" width="39.2166666666667" style="4" customWidth="1"/>
    <col min="5" max="5" width="6.25" style="5" customWidth="1"/>
    <col min="6" max="6" width="8.28333333333333" style="6" customWidth="1"/>
    <col min="7" max="8" width="19.375" style="7" customWidth="1"/>
    <col min="9" max="9" width="13.0166666666667" style="7" customWidth="1"/>
    <col min="10" max="10" width="8.9" style="7" customWidth="1"/>
    <col min="11" max="11" width="26.25" style="7" customWidth="1"/>
  </cols>
  <sheetData>
    <row r="1" ht="22.5" spans="1:11">
      <c r="A1" s="8" t="s">
        <v>0</v>
      </c>
      <c r="B1" s="9"/>
      <c r="C1" s="10"/>
      <c r="D1" s="10"/>
      <c r="E1" s="11"/>
      <c r="F1" s="12"/>
      <c r="G1" s="10"/>
      <c r="H1" s="10"/>
      <c r="I1" s="10"/>
      <c r="J1" s="10"/>
      <c r="K1" s="10"/>
    </row>
    <row r="2" ht="42.75" spans="1:11">
      <c r="A2" s="13" t="s">
        <v>1</v>
      </c>
      <c r="B2" s="13" t="s">
        <v>2</v>
      </c>
      <c r="C2" s="14" t="s">
        <v>3</v>
      </c>
      <c r="D2" s="14" t="s">
        <v>4</v>
      </c>
      <c r="E2" s="15" t="s">
        <v>5</v>
      </c>
      <c r="F2" s="16" t="s">
        <v>6</v>
      </c>
      <c r="G2" s="14" t="s">
        <v>7</v>
      </c>
      <c r="H2" s="14" t="s">
        <v>8</v>
      </c>
      <c r="I2" s="14" t="s">
        <v>9</v>
      </c>
      <c r="J2" s="14" t="s">
        <v>10</v>
      </c>
      <c r="K2" s="14" t="s">
        <v>11</v>
      </c>
    </row>
    <row r="3" ht="20.25" spans="1:11">
      <c r="A3" s="17" t="s">
        <v>12</v>
      </c>
      <c r="B3" s="18"/>
      <c r="C3" s="19"/>
      <c r="D3" s="19"/>
      <c r="E3" s="20"/>
      <c r="F3" s="21"/>
      <c r="G3" s="19"/>
      <c r="H3" s="19"/>
      <c r="I3" s="19"/>
      <c r="J3" s="19"/>
      <c r="K3" s="42"/>
    </row>
    <row r="4" customFormat="1" ht="29.25" spans="1:11">
      <c r="A4" s="22" t="s">
        <v>13</v>
      </c>
      <c r="B4" s="23"/>
      <c r="C4" s="23"/>
      <c r="D4" s="24"/>
      <c r="E4" s="25"/>
      <c r="F4" s="26"/>
      <c r="G4" s="24"/>
      <c r="H4" s="24"/>
      <c r="I4" s="24"/>
      <c r="J4" s="24"/>
      <c r="K4" s="43"/>
    </row>
    <row r="5" s="1" customFormat="1" ht="18" customHeight="1" spans="1:1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</row>
    <row r="6" s="1" customFormat="1" ht="29" customHeight="1" spans="1:11">
      <c r="A6" s="28">
        <v>1</v>
      </c>
      <c r="B6" s="29" t="s">
        <v>14</v>
      </c>
      <c r="C6" s="30" t="s">
        <v>15</v>
      </c>
      <c r="D6" s="30" t="s">
        <v>16</v>
      </c>
      <c r="E6" s="31" t="s">
        <v>17</v>
      </c>
      <c r="F6" s="30">
        <f>(1.9*3.7+0.05*1.9*2)*2</f>
        <v>14.44</v>
      </c>
      <c r="G6" s="28" t="s">
        <v>18</v>
      </c>
      <c r="H6" s="28" t="s">
        <v>19</v>
      </c>
      <c r="I6" s="28"/>
      <c r="J6" s="28"/>
      <c r="K6" s="28"/>
    </row>
    <row r="7" s="1" customFormat="1" ht="29" customHeight="1" spans="1:11">
      <c r="A7" s="28">
        <v>2</v>
      </c>
      <c r="B7" s="29"/>
      <c r="C7" s="30" t="s">
        <v>20</v>
      </c>
      <c r="D7" s="30" t="s">
        <v>21</v>
      </c>
      <c r="E7" s="31" t="s">
        <v>17</v>
      </c>
      <c r="F7" s="30">
        <f>2.66*0.15*2</f>
        <v>0.798</v>
      </c>
      <c r="G7" s="28" t="s">
        <v>22</v>
      </c>
      <c r="H7" s="28" t="s">
        <v>23</v>
      </c>
      <c r="I7" s="28"/>
      <c r="J7" s="28"/>
      <c r="K7" s="28"/>
    </row>
    <row r="8" s="1" customFormat="1" ht="29" customHeight="1" spans="1:11">
      <c r="A8" s="28">
        <v>3</v>
      </c>
      <c r="B8" s="29"/>
      <c r="C8" s="30"/>
      <c r="D8" s="30" t="s">
        <v>16</v>
      </c>
      <c r="E8" s="31" t="s">
        <v>17</v>
      </c>
      <c r="F8" s="30">
        <f>(0.15*2.1*2+0.17*2.1+3.7*0.25+0.83*2.1)*2</f>
        <v>7.31</v>
      </c>
      <c r="G8" s="29" t="s">
        <v>24</v>
      </c>
      <c r="H8" s="28" t="s">
        <v>25</v>
      </c>
      <c r="I8" s="28"/>
      <c r="J8" s="28"/>
      <c r="K8" s="30"/>
    </row>
    <row r="9" s="1" customFormat="1" ht="29" customHeight="1" spans="1:11">
      <c r="A9" s="28">
        <v>4</v>
      </c>
      <c r="B9" s="29"/>
      <c r="C9" s="30"/>
      <c r="D9" s="30" t="s">
        <v>26</v>
      </c>
      <c r="E9" s="31" t="s">
        <v>17</v>
      </c>
      <c r="F9" s="30">
        <f>(0.3*2.15*2+2.26*0.17)*2</f>
        <v>3.3484</v>
      </c>
      <c r="G9" s="28" t="s">
        <v>27</v>
      </c>
      <c r="H9" s="28" t="s">
        <v>28</v>
      </c>
      <c r="I9" s="28"/>
      <c r="J9" s="28"/>
      <c r="K9" s="30" t="s">
        <v>29</v>
      </c>
    </row>
    <row r="10" s="1" customFormat="1" ht="29" customHeight="1" spans="1:11">
      <c r="A10" s="28">
        <v>5</v>
      </c>
      <c r="B10" s="29"/>
      <c r="C10" s="30"/>
      <c r="D10" s="30" t="s">
        <v>16</v>
      </c>
      <c r="E10" s="31" t="s">
        <v>17</v>
      </c>
      <c r="F10" s="30">
        <f>((0.59+0.85+0.38+1.17)*2.1+1*0.3*2)*2</f>
        <v>13.758</v>
      </c>
      <c r="G10" s="28" t="s">
        <v>30</v>
      </c>
      <c r="H10" s="28" t="s">
        <v>31</v>
      </c>
      <c r="I10" s="28"/>
      <c r="J10" s="28"/>
      <c r="K10" s="34" t="s">
        <v>32</v>
      </c>
    </row>
    <row r="11" s="1" customFormat="1" ht="29" customHeight="1" spans="1:11">
      <c r="A11" s="28">
        <v>6</v>
      </c>
      <c r="B11" s="29"/>
      <c r="C11" s="30" t="s">
        <v>33</v>
      </c>
      <c r="D11" s="30" t="s">
        <v>16</v>
      </c>
      <c r="E11" s="31" t="s">
        <v>17</v>
      </c>
      <c r="F11" s="30">
        <f>1*1.85*2*2</f>
        <v>7.4</v>
      </c>
      <c r="G11" s="28" t="s">
        <v>34</v>
      </c>
      <c r="H11" s="28" t="s">
        <v>35</v>
      </c>
      <c r="I11" s="28"/>
      <c r="J11" s="28"/>
      <c r="K11" s="34" t="s">
        <v>32</v>
      </c>
    </row>
    <row r="12" s="1" customFormat="1" ht="29" customHeight="1" spans="1:11">
      <c r="A12" s="28">
        <v>7</v>
      </c>
      <c r="B12" s="29"/>
      <c r="C12" s="30" t="s">
        <v>36</v>
      </c>
      <c r="D12" s="30" t="s">
        <v>37</v>
      </c>
      <c r="E12" s="31" t="s">
        <v>38</v>
      </c>
      <c r="F12" s="30">
        <f>14.8*2</f>
        <v>29.6</v>
      </c>
      <c r="G12" s="28" t="s">
        <v>36</v>
      </c>
      <c r="H12" s="28"/>
      <c r="I12" s="28"/>
      <c r="J12" s="28"/>
      <c r="K12" s="30" t="s">
        <v>39</v>
      </c>
    </row>
    <row r="13" s="1" customFormat="1" ht="29" customHeight="1" spans="1:11">
      <c r="A13" s="28">
        <v>8</v>
      </c>
      <c r="B13" s="29"/>
      <c r="C13" s="30" t="s">
        <v>40</v>
      </c>
      <c r="D13" s="30" t="s">
        <v>41</v>
      </c>
      <c r="E13" s="31" t="s">
        <v>38</v>
      </c>
      <c r="F13" s="30">
        <f>(1.9*2+3.71*2)*2</f>
        <v>22.44</v>
      </c>
      <c r="G13" s="28" t="s">
        <v>42</v>
      </c>
      <c r="H13" s="28"/>
      <c r="I13" s="28"/>
      <c r="J13" s="28"/>
      <c r="K13" s="28" t="str">
        <f>_xlfn.DISPIMG("ID_0423FF8255E041959F016127825B5276",1)</f>
        <v>=DISPIMG("ID_0423FF8255E041959F016127825B5276",1)</v>
      </c>
    </row>
    <row r="14" s="1" customFormat="1" ht="29" customHeight="1" spans="1:11">
      <c r="A14" s="28">
        <v>9</v>
      </c>
      <c r="B14" s="29"/>
      <c r="C14" s="30" t="s">
        <v>40</v>
      </c>
      <c r="D14" s="30" t="s">
        <v>43</v>
      </c>
      <c r="E14" s="31" t="s">
        <v>38</v>
      </c>
      <c r="F14" s="30">
        <f>1.9*8*2</f>
        <v>30.4</v>
      </c>
      <c r="G14" s="28" t="s">
        <v>42</v>
      </c>
      <c r="H14" s="28"/>
      <c r="I14" s="28"/>
      <c r="J14" s="28"/>
      <c r="K14" s="28" t="str">
        <f>_xlfn.DISPIMG("ID_095F04A186B14780BA6316CA3C3A2CA4",1)</f>
        <v>=DISPIMG("ID_095F04A186B14780BA6316CA3C3A2CA4",1)</v>
      </c>
    </row>
    <row r="15" s="1" customFormat="1" ht="29" customHeight="1" spans="1:16">
      <c r="A15" s="28">
        <v>10</v>
      </c>
      <c r="B15" s="29"/>
      <c r="C15" s="30" t="s">
        <v>40</v>
      </c>
      <c r="D15" s="30" t="s">
        <v>44</v>
      </c>
      <c r="E15" s="31" t="s">
        <v>38</v>
      </c>
      <c r="F15" s="30">
        <f>(2+2+2.26)*2</f>
        <v>12.52</v>
      </c>
      <c r="G15" s="28" t="s">
        <v>45</v>
      </c>
      <c r="H15" s="28" t="s">
        <v>46</v>
      </c>
      <c r="I15" s="28"/>
      <c r="J15" s="28"/>
      <c r="K15" s="28" t="str">
        <f>_xlfn.DISPIMG("ID_CA49A52E0881478FBA339D2FAD57B8C6",1)</f>
        <v>=DISPIMG("ID_CA49A52E0881478FBA339D2FAD57B8C6",1)</v>
      </c>
      <c r="P15" s="44"/>
    </row>
    <row r="16" s="1" customFormat="1" ht="18" customHeight="1" spans="1:11">
      <c r="A16" s="32"/>
      <c r="B16" s="32"/>
      <c r="C16" s="32"/>
      <c r="D16" s="32"/>
      <c r="E16" s="33"/>
      <c r="F16" s="32"/>
      <c r="G16" s="32"/>
      <c r="H16" s="32"/>
      <c r="I16" s="32"/>
      <c r="J16" s="32"/>
      <c r="K16" s="32"/>
    </row>
    <row r="17" s="1" customFormat="1" ht="29" customHeight="1" spans="1:11">
      <c r="A17" s="28">
        <v>1</v>
      </c>
      <c r="B17" s="28" t="s">
        <v>47</v>
      </c>
      <c r="C17" s="30" t="s">
        <v>15</v>
      </c>
      <c r="D17" s="30" t="s">
        <v>16</v>
      </c>
      <c r="E17" s="31" t="s">
        <v>17</v>
      </c>
      <c r="F17" s="30">
        <f>(1.4*2.08+3.6*2.28)*2</f>
        <v>22.24</v>
      </c>
      <c r="G17" s="30" t="s">
        <v>48</v>
      </c>
      <c r="H17" s="30" t="s">
        <v>49</v>
      </c>
      <c r="I17" s="30"/>
      <c r="J17" s="30"/>
      <c r="K17" s="30"/>
    </row>
    <row r="18" s="1" customFormat="1" ht="29" customHeight="1" spans="1:11">
      <c r="A18" s="28">
        <v>2</v>
      </c>
      <c r="B18" s="28"/>
      <c r="C18" s="30" t="s">
        <v>20</v>
      </c>
      <c r="D18" s="30" t="s">
        <v>21</v>
      </c>
      <c r="E18" s="31" t="s">
        <v>17</v>
      </c>
      <c r="F18" s="30">
        <f>2.66*0.15*2</f>
        <v>0.798</v>
      </c>
      <c r="G18" s="30" t="s">
        <v>50</v>
      </c>
      <c r="H18" s="30" t="s">
        <v>23</v>
      </c>
      <c r="I18" s="30"/>
      <c r="J18" s="30"/>
      <c r="K18" s="30"/>
    </row>
    <row r="19" s="1" customFormat="1" ht="29" customHeight="1" spans="1:11">
      <c r="A19" s="28">
        <v>3</v>
      </c>
      <c r="B19" s="28"/>
      <c r="C19" s="30"/>
      <c r="D19" s="30" t="s">
        <v>16</v>
      </c>
      <c r="E19" s="31" t="s">
        <v>17</v>
      </c>
      <c r="F19" s="30">
        <f>0.15*2.25*2*2</f>
        <v>1.35</v>
      </c>
      <c r="G19" s="30" t="s">
        <v>51</v>
      </c>
      <c r="H19" s="30" t="s">
        <v>52</v>
      </c>
      <c r="I19" s="30"/>
      <c r="J19" s="30"/>
      <c r="K19" s="30"/>
    </row>
    <row r="20" s="1" customFormat="1" ht="29" customHeight="1" spans="1:11">
      <c r="A20" s="28">
        <v>4</v>
      </c>
      <c r="B20" s="28"/>
      <c r="C20" s="30"/>
      <c r="D20" s="30" t="s">
        <v>53</v>
      </c>
      <c r="E20" s="31" t="s">
        <v>17</v>
      </c>
      <c r="F20" s="30">
        <f>(0.3*2.3*2+2.26*0.17)*2</f>
        <v>3.5284</v>
      </c>
      <c r="G20" s="30" t="s">
        <v>51</v>
      </c>
      <c r="H20" s="30" t="s">
        <v>54</v>
      </c>
      <c r="I20" s="30"/>
      <c r="J20" s="30"/>
      <c r="K20" s="30" t="s">
        <v>29</v>
      </c>
    </row>
    <row r="21" s="1" customFormat="1" ht="29" customHeight="1" spans="1:11">
      <c r="A21" s="28">
        <v>5</v>
      </c>
      <c r="B21" s="28"/>
      <c r="C21" s="30" t="s">
        <v>55</v>
      </c>
      <c r="D21" s="30" t="s">
        <v>56</v>
      </c>
      <c r="E21" s="31" t="s">
        <v>17</v>
      </c>
      <c r="F21" s="30">
        <f>(2.67*3.24+3.63*2.37+0.86*2.08)*2</f>
        <v>38.0854</v>
      </c>
      <c r="G21" s="30" t="s">
        <v>57</v>
      </c>
      <c r="H21" s="30" t="s">
        <v>58</v>
      </c>
      <c r="I21" s="30"/>
      <c r="J21" s="30"/>
      <c r="K21" s="30"/>
    </row>
    <row r="22" s="1" customFormat="1" ht="29" customHeight="1" spans="1:11">
      <c r="A22" s="28">
        <v>6</v>
      </c>
      <c r="B22" s="28"/>
      <c r="C22" s="30" t="s">
        <v>59</v>
      </c>
      <c r="D22" s="30" t="s">
        <v>16</v>
      </c>
      <c r="E22" s="31" t="s">
        <v>17</v>
      </c>
      <c r="F22" s="30">
        <f>3.24*0.35*2</f>
        <v>2.268</v>
      </c>
      <c r="G22" s="30" t="s">
        <v>60</v>
      </c>
      <c r="H22" s="30" t="s">
        <v>61</v>
      </c>
      <c r="I22" s="30"/>
      <c r="J22" s="30"/>
      <c r="K22" s="30" t="s">
        <v>62</v>
      </c>
    </row>
    <row r="23" s="1" customFormat="1" ht="29" customHeight="1" spans="1:11">
      <c r="A23" s="28">
        <v>8</v>
      </c>
      <c r="B23" s="28"/>
      <c r="C23" s="30" t="s">
        <v>36</v>
      </c>
      <c r="D23" s="30" t="s">
        <v>37</v>
      </c>
      <c r="E23" s="31" t="s">
        <v>38</v>
      </c>
      <c r="F23" s="30">
        <f>(1.3+9.8)*2</f>
        <v>22.2</v>
      </c>
      <c r="G23" s="30" t="s">
        <v>36</v>
      </c>
      <c r="H23" s="30"/>
      <c r="I23" s="30"/>
      <c r="J23" s="30"/>
      <c r="K23" s="30" t="s">
        <v>39</v>
      </c>
    </row>
    <row r="24" s="1" customFormat="1" ht="29" customHeight="1" spans="1:11">
      <c r="A24" s="28">
        <v>9</v>
      </c>
      <c r="B24" s="28"/>
      <c r="C24" s="30" t="s">
        <v>40</v>
      </c>
      <c r="D24" s="30" t="s">
        <v>44</v>
      </c>
      <c r="E24" s="31" t="s">
        <v>38</v>
      </c>
      <c r="F24" s="30">
        <f>(2.28+2.28+2.14)*2</f>
        <v>13.4</v>
      </c>
      <c r="G24" s="28" t="s">
        <v>45</v>
      </c>
      <c r="H24" s="28"/>
      <c r="I24" s="28"/>
      <c r="J24" s="28"/>
      <c r="K24" s="28" t="str">
        <f>_xlfn.DISPIMG("ID_30463CFB2E5D4EE289721562D85470DD",1)</f>
        <v>=DISPIMG("ID_30463CFB2E5D4EE289721562D85470DD",1)</v>
      </c>
    </row>
    <row r="25" s="1" customFormat="1" ht="18" customHeight="1" spans="1:11">
      <c r="A25" s="32"/>
      <c r="B25" s="32"/>
      <c r="C25" s="32"/>
      <c r="D25" s="32"/>
      <c r="E25" s="33"/>
      <c r="F25" s="32"/>
      <c r="G25" s="32"/>
      <c r="H25" s="32"/>
      <c r="I25" s="32"/>
      <c r="J25" s="32"/>
      <c r="K25" s="32"/>
    </row>
    <row r="26" s="1" customFormat="1" ht="29" customHeight="1" spans="1:11">
      <c r="A26" s="28">
        <v>1</v>
      </c>
      <c r="B26" s="28" t="s">
        <v>63</v>
      </c>
      <c r="C26" s="30" t="s">
        <v>15</v>
      </c>
      <c r="D26" s="30" t="s">
        <v>21</v>
      </c>
      <c r="E26" s="31" t="s">
        <v>17</v>
      </c>
      <c r="F26" s="30">
        <f>2.66*0.15</f>
        <v>0.399</v>
      </c>
      <c r="G26" s="30" t="s">
        <v>64</v>
      </c>
      <c r="H26" s="30" t="s">
        <v>65</v>
      </c>
      <c r="I26" s="30"/>
      <c r="J26" s="30"/>
      <c r="K26" s="30"/>
    </row>
    <row r="27" s="1" customFormat="1" ht="29" customHeight="1" spans="1:11">
      <c r="A27" s="28">
        <v>2</v>
      </c>
      <c r="B27" s="28"/>
      <c r="C27" s="30"/>
      <c r="D27" s="30" t="s">
        <v>53</v>
      </c>
      <c r="E27" s="31" t="s">
        <v>17</v>
      </c>
      <c r="F27" s="30">
        <f>0.3*2.15*2+2.26*0.17</f>
        <v>1.6742</v>
      </c>
      <c r="G27" s="30" t="s">
        <v>66</v>
      </c>
      <c r="H27" s="30" t="s">
        <v>28</v>
      </c>
      <c r="I27" s="30"/>
      <c r="J27" s="30"/>
      <c r="K27" s="30" t="s">
        <v>29</v>
      </c>
    </row>
    <row r="28" s="1" customFormat="1" ht="29" customHeight="1" spans="1:11">
      <c r="A28" s="28">
        <v>3</v>
      </c>
      <c r="B28" s="28"/>
      <c r="C28" s="30"/>
      <c r="D28" s="30" t="s">
        <v>16</v>
      </c>
      <c r="E28" s="31" t="s">
        <v>17</v>
      </c>
      <c r="F28" s="30">
        <f>0.15*2.1</f>
        <v>0.315</v>
      </c>
      <c r="G28" s="30" t="s">
        <v>66</v>
      </c>
      <c r="H28" s="30" t="s">
        <v>46</v>
      </c>
      <c r="I28" s="30"/>
      <c r="J28" s="30"/>
      <c r="K28" s="30"/>
    </row>
    <row r="29" s="1" customFormat="1" ht="29" customHeight="1" spans="1:11">
      <c r="A29" s="28">
        <v>4</v>
      </c>
      <c r="B29" s="28"/>
      <c r="C29" s="30"/>
      <c r="D29" s="30" t="s">
        <v>16</v>
      </c>
      <c r="E29" s="31" t="s">
        <v>17</v>
      </c>
      <c r="F29" s="30">
        <f>(1*2.1+4.02*2.1+4.7*2.1)-1.03*0.68</f>
        <v>19.7116</v>
      </c>
      <c r="G29" s="30" t="s">
        <v>67</v>
      </c>
      <c r="H29" s="30" t="s">
        <v>68</v>
      </c>
      <c r="I29" s="30"/>
      <c r="J29" s="30"/>
      <c r="K29" s="34" t="s">
        <v>32</v>
      </c>
    </row>
    <row r="30" s="1" customFormat="1" ht="29" customHeight="1" spans="1:11">
      <c r="A30" s="28">
        <v>5</v>
      </c>
      <c r="B30" s="28"/>
      <c r="C30" s="30" t="s">
        <v>69</v>
      </c>
      <c r="D30" s="30" t="s">
        <v>21</v>
      </c>
      <c r="E30" s="31" t="s">
        <v>17</v>
      </c>
      <c r="F30" s="30">
        <f>1.03*0.68</f>
        <v>0.7004</v>
      </c>
      <c r="G30" s="30" t="s">
        <v>70</v>
      </c>
      <c r="H30" s="30" t="s">
        <v>31</v>
      </c>
      <c r="I30" s="30"/>
      <c r="J30" s="30"/>
      <c r="K30" s="30"/>
    </row>
    <row r="31" s="1" customFormat="1" ht="29" customHeight="1" spans="1:11">
      <c r="A31" s="28">
        <v>6</v>
      </c>
      <c r="B31" s="28"/>
      <c r="C31" s="30" t="s">
        <v>36</v>
      </c>
      <c r="D31" s="30" t="s">
        <v>37</v>
      </c>
      <c r="E31" s="31" t="s">
        <v>38</v>
      </c>
      <c r="F31" s="30">
        <v>15.8</v>
      </c>
      <c r="G31" s="30" t="s">
        <v>36</v>
      </c>
      <c r="H31" s="30"/>
      <c r="I31" s="30"/>
      <c r="J31" s="30"/>
      <c r="K31" s="30" t="s">
        <v>39</v>
      </c>
    </row>
    <row r="32" s="1" customFormat="1" ht="29" customHeight="1" spans="1:11">
      <c r="A32" s="28">
        <v>7</v>
      </c>
      <c r="B32" s="28"/>
      <c r="C32" s="30" t="s">
        <v>40</v>
      </c>
      <c r="D32" s="30" t="s">
        <v>44</v>
      </c>
      <c r="E32" s="31" t="s">
        <v>38</v>
      </c>
      <c r="F32" s="30">
        <f>2+2+2.26</f>
        <v>6.26</v>
      </c>
      <c r="G32" s="28" t="s">
        <v>45</v>
      </c>
      <c r="H32" s="28"/>
      <c r="I32" s="28"/>
      <c r="J32" s="28"/>
      <c r="K32" s="28" t="str">
        <f>_xlfn.DISPIMG("ID_B6507C73C718436B83F8575F36E126E6",1)</f>
        <v>=DISPIMG("ID_B6507C73C718436B83F8575F36E126E6",1)</v>
      </c>
    </row>
    <row r="33" s="1" customFormat="1" ht="18" customHeight="1" spans="1:11">
      <c r="A33" s="32"/>
      <c r="B33" s="32"/>
      <c r="C33" s="32"/>
      <c r="D33" s="32"/>
      <c r="E33" s="33"/>
      <c r="F33" s="32"/>
      <c r="G33" s="32"/>
      <c r="H33" s="32"/>
      <c r="I33" s="32"/>
      <c r="J33" s="32"/>
      <c r="K33" s="32"/>
    </row>
    <row r="34" s="1" customFormat="1" ht="29" customHeight="1" spans="1:11">
      <c r="A34" s="28">
        <v>1</v>
      </c>
      <c r="B34" s="29" t="s">
        <v>71</v>
      </c>
      <c r="C34" s="30" t="s">
        <v>72</v>
      </c>
      <c r="D34" s="30" t="s">
        <v>16</v>
      </c>
      <c r="E34" s="31" t="s">
        <v>17</v>
      </c>
      <c r="F34" s="30">
        <f>9.4*2.22-2*1.35-1.2*1.93*4</f>
        <v>8.904</v>
      </c>
      <c r="G34" s="30" t="s">
        <v>73</v>
      </c>
      <c r="H34" s="30" t="s">
        <v>74</v>
      </c>
      <c r="I34" s="30"/>
      <c r="J34" s="30"/>
      <c r="K34" s="30"/>
    </row>
    <row r="35" s="1" customFormat="1" ht="29" customHeight="1" spans="1:11">
      <c r="A35" s="28">
        <v>2</v>
      </c>
      <c r="B35" s="29"/>
      <c r="C35" s="34" t="s">
        <v>75</v>
      </c>
      <c r="D35" s="30" t="s">
        <v>16</v>
      </c>
      <c r="E35" s="31" t="s">
        <v>17</v>
      </c>
      <c r="F35" s="30">
        <f>8.65*2.22</f>
        <v>19.203</v>
      </c>
      <c r="G35" s="30" t="s">
        <v>73</v>
      </c>
      <c r="H35" s="30" t="s">
        <v>76</v>
      </c>
      <c r="I35" s="30"/>
      <c r="J35" s="30"/>
      <c r="K35" s="30"/>
    </row>
    <row r="36" s="1" customFormat="1" ht="29" customHeight="1" spans="1:11">
      <c r="A36" s="28">
        <v>3</v>
      </c>
      <c r="B36" s="29"/>
      <c r="C36" s="34" t="s">
        <v>36</v>
      </c>
      <c r="D36" s="30" t="s">
        <v>77</v>
      </c>
      <c r="E36" s="31" t="s">
        <v>38</v>
      </c>
      <c r="F36" s="30">
        <f>15.5+0.86</f>
        <v>16.36</v>
      </c>
      <c r="G36" s="30" t="s">
        <v>36</v>
      </c>
      <c r="H36" s="30"/>
      <c r="I36" s="30"/>
      <c r="J36" s="30"/>
      <c r="K36" s="30" t="s">
        <v>39</v>
      </c>
    </row>
    <row r="37" s="1" customFormat="1" ht="18" customHeight="1" spans="1:11">
      <c r="A37" s="32"/>
      <c r="B37" s="32"/>
      <c r="C37" s="32"/>
      <c r="D37" s="32"/>
      <c r="E37" s="33"/>
      <c r="F37" s="32"/>
      <c r="G37" s="32"/>
      <c r="H37" s="32"/>
      <c r="I37" s="32"/>
      <c r="J37" s="32"/>
      <c r="K37" s="32"/>
    </row>
    <row r="38" s="1" customFormat="1" ht="29" customHeight="1" spans="1:11">
      <c r="A38" s="28">
        <v>1</v>
      </c>
      <c r="B38" s="28" t="s">
        <v>78</v>
      </c>
      <c r="C38" s="30" t="s">
        <v>72</v>
      </c>
      <c r="D38" s="30" t="s">
        <v>16</v>
      </c>
      <c r="E38" s="31" t="s">
        <v>17</v>
      </c>
      <c r="F38" s="30">
        <f>(1.16+0.16+0.16+0.7+0.16+0.7)*2.07</f>
        <v>6.2928</v>
      </c>
      <c r="G38" s="35" t="s">
        <v>79</v>
      </c>
      <c r="H38" s="28" t="s">
        <v>80</v>
      </c>
      <c r="I38" s="28"/>
      <c r="J38" s="28"/>
      <c r="K38" s="28"/>
    </row>
    <row r="39" s="1" customFormat="1" ht="29" customHeight="1" spans="1:11">
      <c r="A39" s="28">
        <v>2</v>
      </c>
      <c r="B39" s="28"/>
      <c r="C39" s="30" t="s">
        <v>81</v>
      </c>
      <c r="D39" s="30" t="s">
        <v>21</v>
      </c>
      <c r="E39" s="31" t="s">
        <v>17</v>
      </c>
      <c r="F39" s="30">
        <f>(0.045+0.15)*3.36*2</f>
        <v>1.3104</v>
      </c>
      <c r="G39" s="28" t="s">
        <v>82</v>
      </c>
      <c r="H39" s="28" t="s">
        <v>83</v>
      </c>
      <c r="I39" s="28"/>
      <c r="J39" s="28"/>
      <c r="K39" s="28" t="str">
        <f>_xlfn.DISPIMG("ID_D00C1C07A6FE4A28A8343AA276CE55A5",1)</f>
        <v>=DISPIMG("ID_D00C1C07A6FE4A28A8343AA276CE55A5",1)</v>
      </c>
    </row>
    <row r="40" s="1" customFormat="1" ht="29" customHeight="1" spans="1:11">
      <c r="A40" s="28">
        <v>3</v>
      </c>
      <c r="B40" s="28"/>
      <c r="C40" s="34" t="s">
        <v>36</v>
      </c>
      <c r="D40" s="30" t="s">
        <v>77</v>
      </c>
      <c r="E40" s="31" t="s">
        <v>38</v>
      </c>
      <c r="F40" s="30">
        <v>1.56</v>
      </c>
      <c r="G40" s="28" t="s">
        <v>36</v>
      </c>
      <c r="H40" s="28"/>
      <c r="I40" s="28"/>
      <c r="J40" s="28"/>
      <c r="K40" s="30" t="s">
        <v>39</v>
      </c>
    </row>
    <row r="41" s="1" customFormat="1" ht="18" customHeight="1" spans="1:11">
      <c r="A41" s="32"/>
      <c r="B41" s="32"/>
      <c r="C41" s="32"/>
      <c r="D41" s="32"/>
      <c r="E41" s="33"/>
      <c r="F41" s="32"/>
      <c r="G41" s="32"/>
      <c r="H41" s="32"/>
      <c r="I41" s="32"/>
      <c r="J41" s="32"/>
      <c r="K41" s="32"/>
    </row>
    <row r="42" s="1" customFormat="1" ht="29" customHeight="1" spans="1:11">
      <c r="A42" s="28">
        <v>1</v>
      </c>
      <c r="B42" s="28" t="s">
        <v>84</v>
      </c>
      <c r="C42" s="30" t="s">
        <v>72</v>
      </c>
      <c r="D42" s="30" t="s">
        <v>16</v>
      </c>
      <c r="E42" s="31" t="s">
        <v>17</v>
      </c>
      <c r="F42" s="30">
        <f>2.16*2.07+0.15*2.16+0.15*2.16</f>
        <v>5.1192</v>
      </c>
      <c r="G42" s="30" t="s">
        <v>79</v>
      </c>
      <c r="H42" s="30" t="s">
        <v>85</v>
      </c>
      <c r="I42" s="30"/>
      <c r="J42" s="30"/>
      <c r="K42" s="30"/>
    </row>
    <row r="43" s="1" customFormat="1" ht="29" customHeight="1" spans="1:11">
      <c r="A43" s="28">
        <v>2</v>
      </c>
      <c r="B43" s="28"/>
      <c r="C43" s="30"/>
      <c r="D43" s="30" t="s">
        <v>53</v>
      </c>
      <c r="E43" s="31" t="s">
        <v>17</v>
      </c>
      <c r="F43" s="30">
        <f>0.23*2.07*2</f>
        <v>0.9522</v>
      </c>
      <c r="G43" s="30" t="s">
        <v>86</v>
      </c>
      <c r="H43" s="30" t="s">
        <v>87</v>
      </c>
      <c r="I43" s="30"/>
      <c r="J43" s="30"/>
      <c r="K43" s="30" t="s">
        <v>88</v>
      </c>
    </row>
    <row r="44" s="1" customFormat="1" ht="29" customHeight="1" spans="1:11">
      <c r="A44" s="28">
        <v>3</v>
      </c>
      <c r="B44" s="28"/>
      <c r="C44" s="30"/>
      <c r="D44" s="30" t="s">
        <v>21</v>
      </c>
      <c r="E44" s="31" t="s">
        <v>17</v>
      </c>
      <c r="F44" s="30">
        <f>2.5*0.15</f>
        <v>0.375</v>
      </c>
      <c r="G44" s="30" t="s">
        <v>89</v>
      </c>
      <c r="H44" s="30" t="s">
        <v>90</v>
      </c>
      <c r="I44" s="30"/>
      <c r="J44" s="30"/>
      <c r="K44" s="30"/>
    </row>
    <row r="45" s="1" customFormat="1" ht="29" customHeight="1" spans="1:11">
      <c r="A45" s="28">
        <v>4</v>
      </c>
      <c r="B45" s="28"/>
      <c r="C45" s="30" t="s">
        <v>81</v>
      </c>
      <c r="D45" s="30" t="s">
        <v>21</v>
      </c>
      <c r="E45" s="31" t="s">
        <v>17</v>
      </c>
      <c r="F45" s="30">
        <f>(0.045+0.15)*3.73*2</f>
        <v>1.4547</v>
      </c>
      <c r="G45" s="30" t="s">
        <v>82</v>
      </c>
      <c r="H45" s="34" t="s">
        <v>91</v>
      </c>
      <c r="I45" s="34"/>
      <c r="J45" s="34"/>
      <c r="K45" s="30" t="str">
        <f>_xlfn.DISPIMG("ID_875D86222E524DF8B22D1A191685A771",1)</f>
        <v>=DISPIMG("ID_875D86222E524DF8B22D1A191685A771",1)</v>
      </c>
    </row>
    <row r="46" s="1" customFormat="1" ht="29" customHeight="1" spans="1:11">
      <c r="A46" s="28">
        <v>5</v>
      </c>
      <c r="B46" s="28"/>
      <c r="C46" s="34" t="s">
        <v>36</v>
      </c>
      <c r="D46" s="30" t="s">
        <v>77</v>
      </c>
      <c r="E46" s="31" t="s">
        <v>38</v>
      </c>
      <c r="F46" s="30">
        <v>17.3</v>
      </c>
      <c r="G46" s="30" t="s">
        <v>36</v>
      </c>
      <c r="H46" s="30"/>
      <c r="I46" s="30"/>
      <c r="J46" s="30"/>
      <c r="K46" s="30" t="s">
        <v>39</v>
      </c>
    </row>
    <row r="47" s="1" customFormat="1" ht="29" customHeight="1" spans="1:11">
      <c r="A47" s="28">
        <v>6</v>
      </c>
      <c r="B47" s="28"/>
      <c r="C47" s="30" t="s">
        <v>40</v>
      </c>
      <c r="D47" s="30" t="s">
        <v>92</v>
      </c>
      <c r="E47" s="31" t="s">
        <v>38</v>
      </c>
      <c r="F47" s="30">
        <f>2.2+2.2+2</f>
        <v>6.4</v>
      </c>
      <c r="G47" s="30" t="s">
        <v>45</v>
      </c>
      <c r="H47" s="30"/>
      <c r="I47" s="30"/>
      <c r="J47" s="30"/>
      <c r="K47" s="30" t="str">
        <f>_xlfn.DISPIMG("ID_585E8FA235064E07AD9EAD99800A996E",1)</f>
        <v>=DISPIMG("ID_585E8FA235064E07AD9EAD99800A996E",1)</v>
      </c>
    </row>
    <row r="48" s="1" customFormat="1" ht="18" customHeight="1" spans="1:11">
      <c r="A48" s="32"/>
      <c r="B48" s="32"/>
      <c r="C48" s="32"/>
      <c r="D48" s="32"/>
      <c r="E48" s="33"/>
      <c r="F48" s="32"/>
      <c r="G48" s="32"/>
      <c r="H48" s="32"/>
      <c r="I48" s="32"/>
      <c r="J48" s="32"/>
      <c r="K48" s="32"/>
    </row>
    <row r="49" s="1" customFormat="1" ht="29" customHeight="1" spans="1:11">
      <c r="A49" s="28">
        <v>1</v>
      </c>
      <c r="B49" s="28" t="s">
        <v>93</v>
      </c>
      <c r="C49" s="30" t="s">
        <v>72</v>
      </c>
      <c r="D49" s="30" t="s">
        <v>16</v>
      </c>
      <c r="E49" s="31" t="s">
        <v>17</v>
      </c>
      <c r="F49" s="30">
        <f>(2.11+0.35+0.35)*2.07</f>
        <v>5.8167</v>
      </c>
      <c r="G49" s="30" t="s">
        <v>79</v>
      </c>
      <c r="H49" s="30" t="s">
        <v>94</v>
      </c>
      <c r="I49" s="30"/>
      <c r="J49" s="30"/>
      <c r="K49" s="30"/>
    </row>
    <row r="50" s="1" customFormat="1" ht="29" customHeight="1" spans="1:11">
      <c r="A50" s="28">
        <v>2</v>
      </c>
      <c r="B50" s="28"/>
      <c r="C50" s="30"/>
      <c r="D50" s="30" t="s">
        <v>53</v>
      </c>
      <c r="E50" s="31" t="s">
        <v>17</v>
      </c>
      <c r="F50" s="30">
        <f>0.24*2.07*2</f>
        <v>0.9936</v>
      </c>
      <c r="G50" s="30" t="s">
        <v>86</v>
      </c>
      <c r="H50" s="30" t="s">
        <v>95</v>
      </c>
      <c r="I50" s="30"/>
      <c r="J50" s="30"/>
      <c r="K50" s="30" t="s">
        <v>88</v>
      </c>
    </row>
    <row r="51" s="1" customFormat="1" ht="29" customHeight="1" spans="1:11">
      <c r="A51" s="28">
        <v>3</v>
      </c>
      <c r="B51" s="28"/>
      <c r="C51" s="30" t="s">
        <v>81</v>
      </c>
      <c r="D51" s="30" t="s">
        <v>21</v>
      </c>
      <c r="E51" s="31" t="s">
        <v>17</v>
      </c>
      <c r="F51" s="30">
        <f>(0.045+0.15)*(0.23+1.96+3.23)</f>
        <v>1.0569</v>
      </c>
      <c r="G51" s="30" t="s">
        <v>82</v>
      </c>
      <c r="H51" s="30" t="s">
        <v>96</v>
      </c>
      <c r="I51" s="30"/>
      <c r="J51" s="30"/>
      <c r="K51" s="30" t="str">
        <f>_xlfn.DISPIMG("ID_1D7559C518D942F08D51454B6562EE99",1)</f>
        <v>=DISPIMG("ID_1D7559C518D942F08D51454B6562EE99",1)</v>
      </c>
    </row>
    <row r="52" s="1" customFormat="1" ht="29" customHeight="1" spans="1:11">
      <c r="A52" s="28">
        <v>4</v>
      </c>
      <c r="B52" s="28"/>
      <c r="C52" s="34" t="s">
        <v>36</v>
      </c>
      <c r="D52" s="30" t="s">
        <v>77</v>
      </c>
      <c r="E52" s="31" t="s">
        <v>38</v>
      </c>
      <c r="F52" s="30">
        <v>15.3</v>
      </c>
      <c r="G52" s="30" t="s">
        <v>36</v>
      </c>
      <c r="H52" s="30"/>
      <c r="I52" s="30"/>
      <c r="J52" s="30"/>
      <c r="K52" s="30" t="s">
        <v>39</v>
      </c>
    </row>
    <row r="53" s="1" customFormat="1" ht="18" customHeight="1" spans="1:11">
      <c r="A53" s="32"/>
      <c r="B53" s="32"/>
      <c r="C53" s="32"/>
      <c r="D53" s="32"/>
      <c r="E53" s="33"/>
      <c r="F53" s="32"/>
      <c r="G53" s="32"/>
      <c r="H53" s="32"/>
      <c r="I53" s="32"/>
      <c r="J53" s="32"/>
      <c r="K53" s="32"/>
    </row>
    <row r="54" s="1" customFormat="1" ht="29" customHeight="1" spans="1:11">
      <c r="A54" s="28">
        <v>1</v>
      </c>
      <c r="B54" s="28" t="s">
        <v>97</v>
      </c>
      <c r="C54" s="30" t="s">
        <v>98</v>
      </c>
      <c r="D54" s="30" t="s">
        <v>21</v>
      </c>
      <c r="E54" s="31" t="s">
        <v>17</v>
      </c>
      <c r="F54" s="30">
        <f>0.15*1.44*4</f>
        <v>0.864</v>
      </c>
      <c r="G54" s="30" t="s">
        <v>99</v>
      </c>
      <c r="H54" s="30" t="s">
        <v>23</v>
      </c>
      <c r="I54" s="30"/>
      <c r="J54" s="30"/>
      <c r="K54" s="30"/>
    </row>
    <row r="55" s="1" customFormat="1" ht="29" customHeight="1" spans="1:11">
      <c r="A55" s="28">
        <v>2</v>
      </c>
      <c r="B55" s="28"/>
      <c r="C55" s="30"/>
      <c r="D55" s="30" t="s">
        <v>16</v>
      </c>
      <c r="E55" s="31" t="s">
        <v>17</v>
      </c>
      <c r="F55" s="30">
        <f>0.12*(2.08+5.88+2.08+1.96)*2+(11.87*2.25-0.78*1.3*3-1.2*2.07*4)+(3.25*2.25-0.8*1-1.2*2.07)</f>
        <v>20.638</v>
      </c>
      <c r="G55" s="30" t="s">
        <v>100</v>
      </c>
      <c r="H55" s="30" t="s">
        <v>101</v>
      </c>
      <c r="I55" s="30"/>
      <c r="J55" s="30"/>
      <c r="K55" s="30"/>
    </row>
    <row r="56" s="1" customFormat="1" ht="29" customHeight="1" spans="1:11">
      <c r="A56" s="28">
        <v>3</v>
      </c>
      <c r="B56" s="28"/>
      <c r="C56" s="30" t="s">
        <v>102</v>
      </c>
      <c r="D56" s="30" t="s">
        <v>21</v>
      </c>
      <c r="E56" s="31" t="s">
        <v>17</v>
      </c>
      <c r="F56" s="30">
        <f>0.78*1.3*3</f>
        <v>3.042</v>
      </c>
      <c r="G56" s="30" t="s">
        <v>70</v>
      </c>
      <c r="H56" s="30" t="s">
        <v>101</v>
      </c>
      <c r="I56" s="30"/>
      <c r="J56" s="30"/>
      <c r="K56" s="30"/>
    </row>
    <row r="57" s="1" customFormat="1" ht="29" customHeight="1" spans="1:11">
      <c r="A57" s="28">
        <v>4</v>
      </c>
      <c r="B57" s="28"/>
      <c r="C57" s="30" t="s">
        <v>72</v>
      </c>
      <c r="D57" s="30" t="s">
        <v>26</v>
      </c>
      <c r="E57" s="31" t="s">
        <v>17</v>
      </c>
      <c r="F57" s="30">
        <f>0.4*2.08*2+0.4*(1.94+1.94+2.84)*2</f>
        <v>7.04</v>
      </c>
      <c r="G57" s="30" t="s">
        <v>103</v>
      </c>
      <c r="H57" s="30" t="s">
        <v>104</v>
      </c>
      <c r="I57" s="30"/>
      <c r="J57" s="30"/>
      <c r="K57" s="30"/>
    </row>
    <row r="58" s="1" customFormat="1" ht="29" customHeight="1" spans="1:11">
      <c r="A58" s="28">
        <v>5</v>
      </c>
      <c r="B58" s="28"/>
      <c r="C58" s="30"/>
      <c r="D58" s="30" t="s">
        <v>16</v>
      </c>
      <c r="E58" s="31" t="s">
        <v>17</v>
      </c>
      <c r="F58" s="30">
        <f>(1.84+1.68+0.15+1.67+0.56+0.56+0.75+0.56+0.56+0.56+0.56+1.67+0.15+1.68+1.84)*2.08-1.24*1.95*2</f>
        <v>25.9272</v>
      </c>
      <c r="G58" s="30" t="s">
        <v>105</v>
      </c>
      <c r="H58" s="30" t="s">
        <v>106</v>
      </c>
      <c r="I58" s="30"/>
      <c r="J58" s="30"/>
      <c r="K58" s="30"/>
    </row>
    <row r="59" s="1" customFormat="1" ht="29" customHeight="1" spans="1:11">
      <c r="A59" s="28">
        <v>6</v>
      </c>
      <c r="B59" s="28"/>
      <c r="C59" s="34" t="s">
        <v>36</v>
      </c>
      <c r="D59" s="30" t="s">
        <v>77</v>
      </c>
      <c r="E59" s="31" t="s">
        <v>38</v>
      </c>
      <c r="F59" s="30">
        <f>40-2.6</f>
        <v>37.4</v>
      </c>
      <c r="G59" s="30" t="s">
        <v>36</v>
      </c>
      <c r="H59" s="30"/>
      <c r="I59" s="30"/>
      <c r="J59" s="30"/>
      <c r="K59" s="30" t="s">
        <v>39</v>
      </c>
    </row>
    <row r="60" s="1" customFormat="1" ht="29" customHeight="1" spans="1:11">
      <c r="A60" s="28">
        <v>7</v>
      </c>
      <c r="B60" s="28"/>
      <c r="C60" s="30" t="s">
        <v>40</v>
      </c>
      <c r="D60" s="30" t="s">
        <v>107</v>
      </c>
      <c r="E60" s="31" t="s">
        <v>38</v>
      </c>
      <c r="F60" s="30">
        <f>5.37*4</f>
        <v>21.48</v>
      </c>
      <c r="G60" s="30" t="s">
        <v>45</v>
      </c>
      <c r="H60" s="30"/>
      <c r="I60" s="30"/>
      <c r="J60" s="30"/>
      <c r="K60" s="30" t="str">
        <f>_xlfn.DISPIMG("ID_75A3C6C15AD44C0D92D4464D6BBD6FC0",1)</f>
        <v>=DISPIMG("ID_75A3C6C15AD44C0D92D4464D6BBD6FC0",1)</v>
      </c>
    </row>
    <row r="61" s="1" customFormat="1" ht="29" customHeight="1" spans="1:11">
      <c r="A61" s="28">
        <v>8</v>
      </c>
      <c r="B61" s="28"/>
      <c r="C61" s="30" t="s">
        <v>40</v>
      </c>
      <c r="D61" s="30" t="s">
        <v>108</v>
      </c>
      <c r="E61" s="31" t="s">
        <v>38</v>
      </c>
      <c r="F61" s="30">
        <f>2.08*4</f>
        <v>8.32</v>
      </c>
      <c r="G61" s="30" t="s">
        <v>109</v>
      </c>
      <c r="H61" s="30"/>
      <c r="I61" s="30"/>
      <c r="J61" s="30"/>
      <c r="K61" s="45" t="str">
        <f>_xlfn.DISPIMG("ID_C57BEBF3D59B46EDB6D4690CC45CE39E",1)</f>
        <v>=DISPIMG("ID_C57BEBF3D59B46EDB6D4690CC45CE39E",1)</v>
      </c>
    </row>
    <row r="62" s="1" customFormat="1" ht="29" customHeight="1" spans="1:11">
      <c r="A62" s="36" t="s">
        <v>110</v>
      </c>
      <c r="B62" s="36"/>
      <c r="C62" s="36"/>
      <c r="D62" s="28"/>
      <c r="E62" s="37"/>
      <c r="F62" s="28"/>
      <c r="G62" s="28"/>
      <c r="H62" s="28"/>
      <c r="I62" s="28"/>
      <c r="J62" s="28"/>
      <c r="K62" s="46"/>
    </row>
    <row r="63" s="1" customFormat="1" ht="18" customHeight="1" spans="1:11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</row>
    <row r="64" s="2" customFormat="1" ht="29" customHeight="1" spans="1:13">
      <c r="A64" s="38">
        <v>1</v>
      </c>
      <c r="B64" s="39" t="s">
        <v>111</v>
      </c>
      <c r="C64" s="40" t="s">
        <v>112</v>
      </c>
      <c r="D64" s="30" t="s">
        <v>21</v>
      </c>
      <c r="E64" s="41" t="s">
        <v>17</v>
      </c>
      <c r="F64" s="40">
        <f>0.26*(8.89+4.39)</f>
        <v>3.4528</v>
      </c>
      <c r="G64" s="40" t="s">
        <v>99</v>
      </c>
      <c r="H64" s="40" t="s">
        <v>113</v>
      </c>
      <c r="I64" s="40"/>
      <c r="J64" s="40"/>
      <c r="K64" s="40"/>
      <c r="L64" s="47"/>
      <c r="M64" s="47"/>
    </row>
    <row r="65" s="1" customFormat="1" ht="29" customHeight="1" spans="1:13">
      <c r="A65" s="38">
        <v>2</v>
      </c>
      <c r="B65" s="39"/>
      <c r="C65" s="40"/>
      <c r="D65" s="30" t="s">
        <v>16</v>
      </c>
      <c r="E65" s="41" t="s">
        <v>17</v>
      </c>
      <c r="F65" s="40">
        <f>0.26*(8.89+4.39)+(3.33+0.32+0.32+1.76+1.94+1.5+1+0.26+0.1+1+2.69+1.29+1.64+0.4+0.4+0.8+0.21+0.6+0.8+0.8+0.6+0.21+0.8+0.4+0.4+1.64+1.35+1.7+0.1+2+0.62+1.75+3.3+0.28+0.28)*2.15-0.86*1.9-0.95*1.9*2-1*2.15*2+0.47*8.86+0.46*2.15*3</f>
        <v>79.7085</v>
      </c>
      <c r="G65" s="40" t="s">
        <v>114</v>
      </c>
      <c r="H65" s="40" t="s">
        <v>115</v>
      </c>
      <c r="I65" s="40"/>
      <c r="J65" s="40"/>
      <c r="K65" s="40"/>
      <c r="L65" s="3"/>
      <c r="M65" s="3"/>
    </row>
    <row r="66" s="1" customFormat="1" ht="29" customHeight="1" spans="1:13">
      <c r="A66" s="38">
        <v>3</v>
      </c>
      <c r="B66" s="39"/>
      <c r="C66" s="34" t="s">
        <v>116</v>
      </c>
      <c r="D66" s="30" t="s">
        <v>21</v>
      </c>
      <c r="E66" s="41" t="s">
        <v>17</v>
      </c>
      <c r="F66" s="48">
        <f>0.36*16.57</f>
        <v>5.9652</v>
      </c>
      <c r="G66" s="40" t="s">
        <v>117</v>
      </c>
      <c r="H66" s="40" t="s">
        <v>113</v>
      </c>
      <c r="I66" s="40"/>
      <c r="J66" s="40"/>
      <c r="K66" s="40"/>
      <c r="L66" s="3"/>
      <c r="M66" s="3"/>
    </row>
    <row r="67" s="1" customFormat="1" ht="29" customHeight="1" spans="1:13">
      <c r="A67" s="38">
        <v>4</v>
      </c>
      <c r="B67" s="39"/>
      <c r="C67" s="34"/>
      <c r="D67" s="30" t="s">
        <v>16</v>
      </c>
      <c r="E67" s="31" t="s">
        <v>17</v>
      </c>
      <c r="F67" s="30">
        <v>15.38</v>
      </c>
      <c r="G67" s="30" t="s">
        <v>118</v>
      </c>
      <c r="H67" s="40" t="s">
        <v>119</v>
      </c>
      <c r="I67" s="40"/>
      <c r="J67" s="40"/>
      <c r="K67" s="40"/>
      <c r="L67" s="3"/>
      <c r="M67" s="3"/>
    </row>
    <row r="68" s="1" customFormat="1" ht="29" customHeight="1" spans="1:13">
      <c r="A68" s="38">
        <v>5</v>
      </c>
      <c r="B68" s="39"/>
      <c r="C68" s="30" t="s">
        <v>36</v>
      </c>
      <c r="D68" s="30" t="s">
        <v>37</v>
      </c>
      <c r="E68" s="41" t="s">
        <v>38</v>
      </c>
      <c r="F68" s="48">
        <f>2.1+0.6+0.7+1.3+2.1+31.2+0.82+0.82</f>
        <v>39.64</v>
      </c>
      <c r="G68" s="40" t="s">
        <v>36</v>
      </c>
      <c r="H68" s="40"/>
      <c r="I68" s="40"/>
      <c r="J68" s="40"/>
      <c r="K68" s="40" t="s">
        <v>39</v>
      </c>
      <c r="L68" s="3"/>
      <c r="M68" s="3"/>
    </row>
    <row r="69" s="1" customFormat="1" ht="18" customHeight="1" spans="1:11">
      <c r="A69" s="32"/>
      <c r="B69" s="32"/>
      <c r="C69" s="32"/>
      <c r="D69" s="32"/>
      <c r="E69" s="33"/>
      <c r="F69" s="32"/>
      <c r="G69" s="32"/>
      <c r="H69" s="32"/>
      <c r="I69" s="32"/>
      <c r="J69" s="32"/>
      <c r="K69" s="32"/>
    </row>
    <row r="70" s="1" customFormat="1" ht="29" customHeight="1" spans="1:11">
      <c r="A70" s="28">
        <v>1</v>
      </c>
      <c r="B70" s="34" t="s">
        <v>120</v>
      </c>
      <c r="C70" s="30" t="s">
        <v>121</v>
      </c>
      <c r="D70" s="30" t="s">
        <v>16</v>
      </c>
      <c r="E70" s="31" t="s">
        <v>17</v>
      </c>
      <c r="F70" s="30">
        <f>1.4*1.175</f>
        <v>1.645</v>
      </c>
      <c r="G70" s="30" t="s">
        <v>122</v>
      </c>
      <c r="H70" s="30" t="s">
        <v>49</v>
      </c>
      <c r="I70" s="30"/>
      <c r="J70" s="30"/>
      <c r="K70" s="30"/>
    </row>
    <row r="71" s="1" customFormat="1" ht="29" customHeight="1" spans="1:11">
      <c r="A71" s="28">
        <v>2</v>
      </c>
      <c r="B71" s="34"/>
      <c r="C71" s="34" t="s">
        <v>123</v>
      </c>
      <c r="D71" s="30" t="s">
        <v>124</v>
      </c>
      <c r="E71" s="31" t="s">
        <v>17</v>
      </c>
      <c r="F71" s="30">
        <f>(1.86+1.86+1.4+1.4+0.38+0.38)*2.28-1.4*1.175-0.7*2</f>
        <v>13.5534</v>
      </c>
      <c r="G71" s="30" t="s">
        <v>125</v>
      </c>
      <c r="H71" s="30" t="s">
        <v>115</v>
      </c>
      <c r="I71" s="30"/>
      <c r="J71" s="30"/>
      <c r="K71" s="30" t="s">
        <v>126</v>
      </c>
    </row>
    <row r="72" s="1" customFormat="1" ht="29" customHeight="1" spans="1:11">
      <c r="A72" s="28">
        <v>3</v>
      </c>
      <c r="B72" s="34"/>
      <c r="C72" s="30" t="s">
        <v>36</v>
      </c>
      <c r="D72" s="30" t="s">
        <v>127</v>
      </c>
      <c r="E72" s="31" t="s">
        <v>38</v>
      </c>
      <c r="F72" s="30">
        <v>6.5</v>
      </c>
      <c r="G72" s="30" t="s">
        <v>36</v>
      </c>
      <c r="H72" s="30"/>
      <c r="I72" s="30"/>
      <c r="J72" s="30"/>
      <c r="K72" s="30" t="s">
        <v>128</v>
      </c>
    </row>
    <row r="73" s="1" customFormat="1" ht="29" customHeight="1" spans="1:11">
      <c r="A73" s="28">
        <v>4</v>
      </c>
      <c r="B73" s="34"/>
      <c r="C73" s="30" t="s">
        <v>40</v>
      </c>
      <c r="D73" s="30" t="s">
        <v>129</v>
      </c>
      <c r="E73" s="31" t="s">
        <v>38</v>
      </c>
      <c r="F73" s="30">
        <v>1.4</v>
      </c>
      <c r="G73" s="30" t="s">
        <v>122</v>
      </c>
      <c r="H73" s="30"/>
      <c r="I73" s="30"/>
      <c r="J73" s="30"/>
      <c r="K73" s="30" t="str">
        <f>_xlfn.DISPIMG("ID_4B8E05ADD10C4BF2BF800648C0C939EC",1)</f>
        <v>=DISPIMG("ID_4B8E05ADD10C4BF2BF800648C0C939EC",1)</v>
      </c>
    </row>
    <row r="74" s="1" customFormat="1" ht="18" customHeight="1" spans="1:11">
      <c r="A74" s="32"/>
      <c r="B74" s="32"/>
      <c r="C74" s="32"/>
      <c r="D74" s="32"/>
      <c r="E74" s="33"/>
      <c r="F74" s="32"/>
      <c r="G74" s="32"/>
      <c r="H74" s="32"/>
      <c r="I74" s="32"/>
      <c r="J74" s="32"/>
      <c r="K74" s="32"/>
    </row>
    <row r="75" s="1" customFormat="1" ht="29" customHeight="1" spans="1:11">
      <c r="A75" s="28">
        <v>1</v>
      </c>
      <c r="B75" s="34" t="s">
        <v>130</v>
      </c>
      <c r="C75" s="30" t="s">
        <v>121</v>
      </c>
      <c r="D75" s="30" t="s">
        <v>16</v>
      </c>
      <c r="E75" s="31" t="s">
        <v>17</v>
      </c>
      <c r="F75" s="30">
        <f>1.4*1.175</f>
        <v>1.645</v>
      </c>
      <c r="G75" s="30" t="s">
        <v>122</v>
      </c>
      <c r="H75" s="30" t="s">
        <v>49</v>
      </c>
      <c r="I75" s="30"/>
      <c r="J75" s="30"/>
      <c r="K75" s="30"/>
    </row>
    <row r="76" s="1" customFormat="1" ht="29" customHeight="1" spans="1:11">
      <c r="A76" s="28">
        <v>2</v>
      </c>
      <c r="B76" s="34"/>
      <c r="C76" s="34" t="s">
        <v>123</v>
      </c>
      <c r="D76" s="30" t="s">
        <v>124</v>
      </c>
      <c r="E76" s="31" t="s">
        <v>17</v>
      </c>
      <c r="F76" s="30">
        <f>(1.86+1.86+1.4+1.4+0.38+0.38)*2.28-1.4*1.175-0.7*2</f>
        <v>13.5534</v>
      </c>
      <c r="G76" s="30" t="s">
        <v>125</v>
      </c>
      <c r="H76" s="30" t="s">
        <v>115</v>
      </c>
      <c r="I76" s="30"/>
      <c r="J76" s="30"/>
      <c r="K76" s="30" t="s">
        <v>126</v>
      </c>
    </row>
    <row r="77" s="1" customFormat="1" ht="29" customHeight="1" spans="1:11">
      <c r="A77" s="28">
        <v>3</v>
      </c>
      <c r="B77" s="34"/>
      <c r="C77" s="30" t="s">
        <v>36</v>
      </c>
      <c r="D77" s="30" t="s">
        <v>127</v>
      </c>
      <c r="E77" s="31" t="s">
        <v>38</v>
      </c>
      <c r="F77" s="30">
        <v>6.5</v>
      </c>
      <c r="G77" s="30" t="s">
        <v>36</v>
      </c>
      <c r="H77" s="30"/>
      <c r="I77" s="30"/>
      <c r="J77" s="30"/>
      <c r="K77" s="30" t="s">
        <v>128</v>
      </c>
    </row>
    <row r="78" s="1" customFormat="1" ht="29" customHeight="1" spans="1:11">
      <c r="A78" s="28">
        <v>4</v>
      </c>
      <c r="B78" s="34"/>
      <c r="C78" s="30" t="s">
        <v>40</v>
      </c>
      <c r="D78" s="30" t="s">
        <v>129</v>
      </c>
      <c r="E78" s="31" t="s">
        <v>38</v>
      </c>
      <c r="F78" s="30">
        <v>1.4</v>
      </c>
      <c r="G78" s="30" t="s">
        <v>122</v>
      </c>
      <c r="H78" s="30"/>
      <c r="I78" s="30"/>
      <c r="J78" s="30"/>
      <c r="K78" s="30" t="str">
        <f>_xlfn.DISPIMG("ID_B6F816DC9F104A5A84ABE2182DA2606E",1)</f>
        <v>=DISPIMG("ID_B6F816DC9F104A5A84ABE2182DA2606E",1)</v>
      </c>
    </row>
    <row r="79" s="1" customFormat="1" ht="29" customHeight="1" spans="1:11">
      <c r="A79" s="36" t="s">
        <v>131</v>
      </c>
      <c r="B79" s="36"/>
      <c r="C79" s="36"/>
      <c r="D79" s="28"/>
      <c r="E79" s="37"/>
      <c r="F79" s="28"/>
      <c r="G79" s="28"/>
      <c r="H79" s="28"/>
      <c r="I79" s="28"/>
      <c r="J79" s="28"/>
      <c r="K79" s="28"/>
    </row>
    <row r="80" s="1" customFormat="1" ht="18" customHeight="1" spans="1:11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</row>
    <row r="81" s="1" customFormat="1" ht="29" customHeight="1" spans="1:11">
      <c r="A81" s="49">
        <v>1</v>
      </c>
      <c r="B81" s="40" t="s">
        <v>132</v>
      </c>
      <c r="C81" s="48" t="s">
        <v>133</v>
      </c>
      <c r="D81" s="40" t="s">
        <v>134</v>
      </c>
      <c r="E81" s="41" t="s">
        <v>135</v>
      </c>
      <c r="F81" s="40">
        <f>2.2*2.2*2</f>
        <v>9.68</v>
      </c>
      <c r="G81" s="40" t="s">
        <v>136</v>
      </c>
      <c r="H81" s="40" t="s">
        <v>115</v>
      </c>
      <c r="I81" s="40"/>
      <c r="J81" s="40"/>
      <c r="K81" s="40"/>
    </row>
    <row r="82" s="1" customFormat="1" ht="29" customHeight="1" spans="1:11">
      <c r="A82" s="49">
        <v>2</v>
      </c>
      <c r="B82" s="34" t="s">
        <v>111</v>
      </c>
      <c r="C82" s="30" t="s">
        <v>112</v>
      </c>
      <c r="D82" s="30" t="s">
        <v>16</v>
      </c>
      <c r="E82" s="31" t="s">
        <v>17</v>
      </c>
      <c r="F82" s="30">
        <f>(0.26+0.61+0.25+0.2+0.2+0.2+0.66+0.625+0.2+0.2+0.16+0.325+3.78)*2*2.15+1.4*0.25*8</f>
        <v>35.781</v>
      </c>
      <c r="G82" s="30" t="s">
        <v>114</v>
      </c>
      <c r="H82" s="30" t="s">
        <v>115</v>
      </c>
      <c r="I82" s="30"/>
      <c r="J82" s="30"/>
      <c r="K82" s="30"/>
    </row>
    <row r="83" s="1" customFormat="1" ht="29" customHeight="1" spans="1:11">
      <c r="A83" s="49">
        <v>3</v>
      </c>
      <c r="B83" s="34"/>
      <c r="C83" s="30" t="s">
        <v>116</v>
      </c>
      <c r="D83" s="30" t="s">
        <v>21</v>
      </c>
      <c r="E83" s="31" t="s">
        <v>135</v>
      </c>
      <c r="F83" s="30">
        <f>0.35*30</f>
        <v>10.5</v>
      </c>
      <c r="G83" s="30" t="s">
        <v>137</v>
      </c>
      <c r="H83" s="30" t="s">
        <v>138</v>
      </c>
      <c r="I83" s="30"/>
      <c r="J83" s="30"/>
      <c r="K83" s="30"/>
    </row>
    <row r="84" s="1" customFormat="1" ht="29" customHeight="1" spans="1:11">
      <c r="A84" s="49">
        <v>4</v>
      </c>
      <c r="B84" s="34"/>
      <c r="C84" s="30"/>
      <c r="D84" s="30" t="s">
        <v>16</v>
      </c>
      <c r="E84" s="31" t="s">
        <v>17</v>
      </c>
      <c r="F84" s="30">
        <f>(0.18+0.18+0.18)*1.9*12</f>
        <v>12.312</v>
      </c>
      <c r="G84" s="30" t="s">
        <v>139</v>
      </c>
      <c r="H84" s="40" t="s">
        <v>119</v>
      </c>
      <c r="I84" s="40"/>
      <c r="J84" s="40"/>
      <c r="K84" s="30"/>
    </row>
    <row r="85" s="1" customFormat="1" ht="29" customHeight="1" spans="1:11">
      <c r="A85" s="49">
        <v>5</v>
      </c>
      <c r="B85" s="34"/>
      <c r="C85" s="30" t="s">
        <v>36</v>
      </c>
      <c r="D85" s="30" t="s">
        <v>37</v>
      </c>
      <c r="E85" s="31" t="s">
        <v>38</v>
      </c>
      <c r="F85" s="30">
        <f>5.6+0.2+0.2+0.2+1.3+0.7+0.7+1.3+0.2+0.2+0.2+5.8</f>
        <v>16.6</v>
      </c>
      <c r="G85" s="40" t="s">
        <v>36</v>
      </c>
      <c r="H85" s="40"/>
      <c r="I85" s="40"/>
      <c r="J85" s="40"/>
      <c r="K85" s="30" t="s">
        <v>39</v>
      </c>
    </row>
    <row r="86" s="1" customFormat="1" ht="29" customHeight="1" spans="1:11">
      <c r="A86" s="50" t="s">
        <v>140</v>
      </c>
      <c r="B86" s="50"/>
      <c r="C86" s="50"/>
      <c r="D86" s="28"/>
      <c r="E86" s="37"/>
      <c r="F86" s="28"/>
      <c r="G86" s="38"/>
      <c r="H86" s="38"/>
      <c r="I86" s="38"/>
      <c r="J86" s="38"/>
      <c r="K86" s="28"/>
    </row>
    <row r="87" s="1" customFormat="1" ht="18" customHeight="1" spans="1:11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</row>
    <row r="88" s="3" customFormat="1" ht="29" customHeight="1" spans="1:11">
      <c r="A88" s="49">
        <v>1</v>
      </c>
      <c r="B88" s="34" t="s">
        <v>141</v>
      </c>
      <c r="C88" s="30" t="s">
        <v>72</v>
      </c>
      <c r="D88" s="30" t="s">
        <v>142</v>
      </c>
      <c r="E88" s="31" t="s">
        <v>38</v>
      </c>
      <c r="F88" s="40">
        <f>0.62+1.38+0.5+2.4+3.84*5+2.08+0.25*12+4.74+3.05+2.76+6.79+1.2+4.2+4.85+2.9+0.86+3.05+2.76+2.24+2.6+0.2+1.22+2.72+0.54+3.91+0.178+1.96+3.84*5+2.45+0.5+1.435+0.62+0.25*16+1.9+3.84*3+2.85+0.11+4.3+0.5+0.5+1.11+2.28+2.28+1.1+0.5+0.5+1+2.53+0.11+2.58+3.84*3+1.9+0.25*16</f>
        <v>163.203</v>
      </c>
      <c r="G88" s="40" t="s">
        <v>143</v>
      </c>
      <c r="H88" s="40" t="s">
        <v>144</v>
      </c>
      <c r="I88" s="40"/>
      <c r="J88" s="40"/>
      <c r="K88" s="40" t="s">
        <v>145</v>
      </c>
    </row>
    <row r="89" s="3" customFormat="1" ht="29" customHeight="1" spans="1:11">
      <c r="A89" s="49">
        <v>2</v>
      </c>
      <c r="B89" s="34"/>
      <c r="C89" s="30"/>
      <c r="D89" s="30" t="s">
        <v>16</v>
      </c>
      <c r="E89" s="31" t="s">
        <v>17</v>
      </c>
      <c r="F89" s="40">
        <f>2.21*2.1*12</f>
        <v>55.692</v>
      </c>
      <c r="G89" s="40" t="s">
        <v>146</v>
      </c>
      <c r="H89" s="40" t="s">
        <v>115</v>
      </c>
      <c r="I89" s="40"/>
      <c r="J89" s="40"/>
      <c r="K89" s="40"/>
    </row>
    <row r="90" s="1" customFormat="1" ht="29" customHeight="1" spans="1:11">
      <c r="A90" s="35">
        <v>3</v>
      </c>
      <c r="B90" s="34"/>
      <c r="C90" s="30"/>
      <c r="D90" s="30" t="s">
        <v>16</v>
      </c>
      <c r="E90" s="31" t="s">
        <v>17</v>
      </c>
      <c r="F90" s="30">
        <f>(0.62+1.38+0.5+2.4+3.84*5+2.08+0.25*12+4.74+3.05+2.76+6.79+1.2+4.2+4.85+2.9+0.86+3.05+2.76+2.24+2.6+0.2+1.22+2.72+0.54+3.91+0.178+1.96+3.84*5+2.45+0.5+1.435+0.62+0.25*16+1.9+3.84*3+2.85+0.11+4.3+0.5+0.5+1.11+2.28+2.28+1.1+0.5+0.5+1+2.53+0.11+2.58+3.84*3+1.9+0.25*16)*0.7</f>
        <v>114.2421</v>
      </c>
      <c r="G90" s="30" t="s">
        <v>147</v>
      </c>
      <c r="H90" s="40" t="s">
        <v>144</v>
      </c>
      <c r="I90" s="40"/>
      <c r="J90" s="40"/>
      <c r="K90" s="30" t="str">
        <f>_xlfn.DISPIMG("ID_D3BB1BB139CE4080B5B47F47E9652403",1)</f>
        <v>=DISPIMG("ID_D3BB1BB139CE4080B5B47F47E9652403",1)</v>
      </c>
    </row>
    <row r="91" s="1" customFormat="1" ht="29" customHeight="1" spans="1:11">
      <c r="A91" s="36" t="s">
        <v>148</v>
      </c>
      <c r="B91" s="36"/>
      <c r="C91" s="36"/>
      <c r="D91" s="28"/>
      <c r="E91" s="37"/>
      <c r="F91" s="35"/>
      <c r="G91" s="35"/>
      <c r="H91" s="49"/>
      <c r="I91" s="49"/>
      <c r="J91" s="49"/>
      <c r="K91" s="35"/>
    </row>
    <row r="92" s="1" customFormat="1" ht="20" customHeight="1" spans="1:11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</row>
    <row r="93" s="1" customFormat="1" ht="29" customHeight="1" spans="1:11">
      <c r="A93" s="35">
        <v>1</v>
      </c>
      <c r="B93" s="34" t="s">
        <v>149</v>
      </c>
      <c r="C93" s="30" t="s">
        <v>72</v>
      </c>
      <c r="D93" s="30" t="s">
        <v>150</v>
      </c>
      <c r="E93" s="31" t="s">
        <v>151</v>
      </c>
      <c r="F93" s="30">
        <v>1</v>
      </c>
      <c r="G93" s="30" t="s">
        <v>152</v>
      </c>
      <c r="H93" s="40"/>
      <c r="I93" s="40"/>
      <c r="J93" s="40"/>
      <c r="K93" s="30" t="s">
        <v>153</v>
      </c>
    </row>
    <row r="94" s="1" customFormat="1" ht="29" customHeight="1" spans="1:11">
      <c r="A94" s="35">
        <v>2</v>
      </c>
      <c r="B94" s="34" t="s">
        <v>154</v>
      </c>
      <c r="C94" s="30" t="s">
        <v>72</v>
      </c>
      <c r="D94" s="30" t="s">
        <v>150</v>
      </c>
      <c r="E94" s="31" t="s">
        <v>151</v>
      </c>
      <c r="F94" s="30">
        <v>1</v>
      </c>
      <c r="G94" s="30" t="s">
        <v>155</v>
      </c>
      <c r="H94" s="40"/>
      <c r="I94" s="40"/>
      <c r="J94" s="40"/>
      <c r="K94" s="30" t="s">
        <v>153</v>
      </c>
    </row>
    <row r="95" customFormat="1" ht="24" spans="1:11">
      <c r="A95" s="35">
        <v>3</v>
      </c>
      <c r="B95" s="51" t="s">
        <v>156</v>
      </c>
      <c r="C95" s="51" t="s">
        <v>157</v>
      </c>
      <c r="D95" s="30" t="s">
        <v>150</v>
      </c>
      <c r="E95" s="31" t="s">
        <v>151</v>
      </c>
      <c r="F95" s="30">
        <v>1</v>
      </c>
      <c r="G95" s="52"/>
      <c r="H95" s="52"/>
      <c r="I95" s="52"/>
      <c r="J95" s="52"/>
      <c r="K95" s="30" t="s">
        <v>153</v>
      </c>
    </row>
    <row r="96" customFormat="1" ht="24" spans="1:11">
      <c r="A96" s="35">
        <v>4</v>
      </c>
      <c r="B96" s="51" t="s">
        <v>158</v>
      </c>
      <c r="C96" s="51" t="s">
        <v>157</v>
      </c>
      <c r="D96" s="30" t="s">
        <v>150</v>
      </c>
      <c r="E96" s="31" t="s">
        <v>151</v>
      </c>
      <c r="F96" s="30">
        <v>1</v>
      </c>
      <c r="G96" s="52"/>
      <c r="H96" s="52"/>
      <c r="I96" s="52"/>
      <c r="J96" s="52"/>
      <c r="K96" s="30" t="s">
        <v>153</v>
      </c>
    </row>
    <row r="97" ht="20.25" spans="1:11">
      <c r="A97" s="53" t="s">
        <v>159</v>
      </c>
      <c r="B97" s="53"/>
      <c r="C97" s="52"/>
      <c r="D97" s="52"/>
      <c r="E97" s="54"/>
      <c r="F97" s="55"/>
      <c r="G97" s="52"/>
      <c r="H97" s="52"/>
      <c r="I97" s="52"/>
      <c r="J97" s="52"/>
      <c r="K97" s="52"/>
    </row>
    <row r="98" ht="23" customHeight="1" spans="1:11">
      <c r="A98" s="56" t="s">
        <v>160</v>
      </c>
      <c r="B98" s="56"/>
      <c r="C98" s="57"/>
      <c r="D98" s="57"/>
      <c r="E98" s="58"/>
      <c r="F98" s="59"/>
      <c r="G98" s="57"/>
      <c r="H98" s="57"/>
      <c r="I98" s="57"/>
      <c r="J98" s="57"/>
      <c r="K98" s="57"/>
    </row>
    <row r="99" spans="1:11">
      <c r="A99" s="28">
        <v>1</v>
      </c>
      <c r="B99" s="30" t="s">
        <v>161</v>
      </c>
      <c r="C99" s="60" t="s">
        <v>162</v>
      </c>
      <c r="D99" s="60" t="s">
        <v>16</v>
      </c>
      <c r="E99" s="31" t="s">
        <v>17</v>
      </c>
      <c r="F99" s="61">
        <f>2*((6.66*3.17-2.5*2.85-0.85*2.57+1.02*0.66))--4.08+(12.2*3.17-8*2.88)</f>
        <v>44.6658</v>
      </c>
      <c r="G99" s="34" t="s">
        <v>163</v>
      </c>
      <c r="H99" s="34" t="s">
        <v>164</v>
      </c>
      <c r="I99" s="34"/>
      <c r="J99" s="34"/>
      <c r="K99" s="34"/>
    </row>
    <row r="100" ht="106" customHeight="1" spans="1:11">
      <c r="A100" s="28">
        <v>2</v>
      </c>
      <c r="B100" s="30"/>
      <c r="C100" s="60" t="s">
        <v>165</v>
      </c>
      <c r="D100" s="60" t="s">
        <v>166</v>
      </c>
      <c r="E100" s="31" t="s">
        <v>167</v>
      </c>
      <c r="F100" s="61">
        <v>6</v>
      </c>
      <c r="G100" s="34" t="s">
        <v>163</v>
      </c>
      <c r="H100" s="34" t="s">
        <v>168</v>
      </c>
      <c r="I100" s="34"/>
      <c r="J100" s="34"/>
      <c r="K100" s="62" t="s">
        <v>169</v>
      </c>
    </row>
    <row r="101" ht="29" customHeight="1" spans="1:11">
      <c r="A101" s="28">
        <v>3</v>
      </c>
      <c r="B101" s="30"/>
      <c r="C101" s="60" t="s">
        <v>170</v>
      </c>
      <c r="D101" s="60" t="s">
        <v>124</v>
      </c>
      <c r="E101" s="31" t="s">
        <v>17</v>
      </c>
      <c r="F101" s="61">
        <f>2*((40-0.32*24+0.2+1.2+2.07*3.17+3*2.27-0.8*2))-1.56+(7.77*2.2-1.56-0.32*8)</f>
        <v>102.3978</v>
      </c>
      <c r="G101" s="34" t="s">
        <v>171</v>
      </c>
      <c r="H101" s="34" t="s">
        <v>172</v>
      </c>
      <c r="I101" s="34"/>
      <c r="J101" s="34"/>
      <c r="K101" s="34" t="s">
        <v>126</v>
      </c>
    </row>
    <row r="102" ht="29" customHeight="1" spans="1:11">
      <c r="A102" s="28">
        <v>4</v>
      </c>
      <c r="B102" s="30"/>
      <c r="C102" s="60" t="s">
        <v>173</v>
      </c>
      <c r="D102" s="60" t="s">
        <v>174</v>
      </c>
      <c r="E102" s="31" t="s">
        <v>167</v>
      </c>
      <c r="F102" s="61">
        <v>2</v>
      </c>
      <c r="G102" s="34" t="s">
        <v>171</v>
      </c>
      <c r="H102" s="34" t="s">
        <v>172</v>
      </c>
      <c r="I102" s="34"/>
      <c r="J102" s="34"/>
      <c r="K102" s="34" t="s">
        <v>175</v>
      </c>
    </row>
    <row r="103" ht="29" customHeight="1" spans="1:11">
      <c r="A103" s="28">
        <v>5</v>
      </c>
      <c r="B103" s="30"/>
      <c r="C103" s="60" t="s">
        <v>176</v>
      </c>
      <c r="D103" s="62" t="s">
        <v>177</v>
      </c>
      <c r="E103" s="31" t="s">
        <v>167</v>
      </c>
      <c r="F103" s="61">
        <v>2</v>
      </c>
      <c r="G103" s="34" t="s">
        <v>171</v>
      </c>
      <c r="H103" s="34" t="s">
        <v>178</v>
      </c>
      <c r="I103" s="34"/>
      <c r="J103" s="34"/>
      <c r="K103" s="34" t="s">
        <v>179</v>
      </c>
    </row>
    <row r="104" ht="40" customHeight="1" spans="1:11">
      <c r="A104" s="28">
        <v>6</v>
      </c>
      <c r="B104" s="30"/>
      <c r="C104" s="60" t="s">
        <v>180</v>
      </c>
      <c r="D104" s="62" t="s">
        <v>181</v>
      </c>
      <c r="E104" s="31" t="s">
        <v>167</v>
      </c>
      <c r="F104" s="61">
        <f>24*2+8</f>
        <v>56</v>
      </c>
      <c r="G104" s="34" t="s">
        <v>171</v>
      </c>
      <c r="H104" s="34" t="s">
        <v>182</v>
      </c>
      <c r="I104" s="34"/>
      <c r="J104" s="34"/>
      <c r="K104" s="34" t="str">
        <f>_xlfn.DISPIMG("ID_4F5EF6DD43054F339936BD1793DE65F0",1)</f>
        <v>=DISPIMG("ID_4F5EF6DD43054F339936BD1793DE65F0",1)</v>
      </c>
    </row>
    <row r="105" ht="29" customHeight="1" spans="1:11">
      <c r="A105" s="28">
        <v>7</v>
      </c>
      <c r="B105" s="30"/>
      <c r="C105" s="60" t="s">
        <v>183</v>
      </c>
      <c r="D105" s="60" t="s">
        <v>16</v>
      </c>
      <c r="E105" s="31" t="s">
        <v>167</v>
      </c>
      <c r="F105" s="61">
        <v>4</v>
      </c>
      <c r="G105" s="34" t="s">
        <v>171</v>
      </c>
      <c r="H105" s="34" t="s">
        <v>184</v>
      </c>
      <c r="I105" s="34"/>
      <c r="J105" s="34"/>
      <c r="K105" s="34"/>
    </row>
    <row r="106" ht="29" customHeight="1" spans="1:11">
      <c r="A106" s="28">
        <v>8</v>
      </c>
      <c r="B106" s="30"/>
      <c r="C106" s="60" t="s">
        <v>185</v>
      </c>
      <c r="D106" s="60" t="s">
        <v>186</v>
      </c>
      <c r="E106" s="31" t="s">
        <v>38</v>
      </c>
      <c r="F106" s="61">
        <f>(25.7+12.3)*2</f>
        <v>76</v>
      </c>
      <c r="G106" s="34" t="s">
        <v>171</v>
      </c>
      <c r="H106" s="34"/>
      <c r="I106" s="34"/>
      <c r="J106" s="34"/>
      <c r="K106" s="34"/>
    </row>
    <row r="107" ht="24" spans="1:11">
      <c r="A107" s="28">
        <v>9</v>
      </c>
      <c r="B107" s="30" t="s">
        <v>187</v>
      </c>
      <c r="C107" s="60" t="s">
        <v>121</v>
      </c>
      <c r="D107" s="60" t="s">
        <v>16</v>
      </c>
      <c r="E107" s="31" t="s">
        <v>17</v>
      </c>
      <c r="F107" s="61">
        <f>(6.4*2.34-1.5*2.1-1*2.1-0.8*2.1)+(6.4*2.34-1.5*2.1-1*2.1)+14.78*2.34-0.8*2.1-1.5*2.1*2-1.2*1.7*3+1.7*2.34+(5.8-0.8*1.5)+(6.26*2.6)+11.6+(5.8-0.8*1.5)+(6.26*2.6)+11.6</f>
        <v>107.1872</v>
      </c>
      <c r="G107" s="34" t="s">
        <v>188</v>
      </c>
      <c r="H107" s="34" t="s">
        <v>189</v>
      </c>
      <c r="I107" s="34"/>
      <c r="J107" s="34"/>
      <c r="K107" s="34"/>
    </row>
    <row r="108" ht="36" spans="1:11">
      <c r="A108" s="28">
        <v>10</v>
      </c>
      <c r="B108" s="30"/>
      <c r="C108" s="60" t="s">
        <v>190</v>
      </c>
      <c r="D108" s="60" t="s">
        <v>191</v>
      </c>
      <c r="E108" s="31" t="s">
        <v>151</v>
      </c>
      <c r="F108" s="61">
        <v>2</v>
      </c>
      <c r="G108" s="34" t="s">
        <v>192</v>
      </c>
      <c r="H108" s="34" t="s">
        <v>193</v>
      </c>
      <c r="I108" s="34"/>
      <c r="J108" s="34"/>
      <c r="K108" s="34" t="s">
        <v>194</v>
      </c>
    </row>
    <row r="109" ht="29" customHeight="1" spans="1:11">
      <c r="A109" s="28">
        <v>11</v>
      </c>
      <c r="B109" s="30"/>
      <c r="C109" s="60" t="s">
        <v>195</v>
      </c>
      <c r="D109" s="60" t="s">
        <v>16</v>
      </c>
      <c r="E109" s="31" t="s">
        <v>167</v>
      </c>
      <c r="F109" s="61">
        <v>2</v>
      </c>
      <c r="G109" s="34" t="s">
        <v>192</v>
      </c>
      <c r="H109" s="34" t="s">
        <v>196</v>
      </c>
      <c r="I109" s="34"/>
      <c r="J109" s="34"/>
      <c r="K109" s="34"/>
    </row>
    <row r="110" ht="29" customHeight="1" spans="1:11">
      <c r="A110" s="28">
        <v>13</v>
      </c>
      <c r="B110" s="30"/>
      <c r="C110" s="60" t="s">
        <v>197</v>
      </c>
      <c r="D110" s="60" t="s">
        <v>166</v>
      </c>
      <c r="E110" s="31" t="s">
        <v>167</v>
      </c>
      <c r="F110" s="61">
        <v>2</v>
      </c>
      <c r="G110" s="34" t="s">
        <v>192</v>
      </c>
      <c r="H110" s="34" t="s">
        <v>198</v>
      </c>
      <c r="I110" s="34"/>
      <c r="J110" s="34"/>
      <c r="K110" s="34" t="s">
        <v>175</v>
      </c>
    </row>
    <row r="111" ht="29" customHeight="1" spans="1:11">
      <c r="A111" s="28">
        <v>14</v>
      </c>
      <c r="B111" s="30"/>
      <c r="C111" s="60" t="s">
        <v>199</v>
      </c>
      <c r="D111" s="60" t="s">
        <v>16</v>
      </c>
      <c r="E111" s="31" t="s">
        <v>17</v>
      </c>
      <c r="F111" s="61">
        <f>5.9*2.17-1*2.17*2</f>
        <v>8.463</v>
      </c>
      <c r="G111" s="34" t="s">
        <v>192</v>
      </c>
      <c r="H111" s="34" t="s">
        <v>200</v>
      </c>
      <c r="I111" s="34"/>
      <c r="J111" s="34"/>
      <c r="K111" s="34"/>
    </row>
    <row r="112" ht="29" customHeight="1" spans="1:11">
      <c r="A112" s="28">
        <v>15</v>
      </c>
      <c r="B112" s="30"/>
      <c r="C112" s="60" t="s">
        <v>102</v>
      </c>
      <c r="D112" s="60" t="s">
        <v>21</v>
      </c>
      <c r="E112" s="31" t="s">
        <v>17</v>
      </c>
      <c r="F112" s="61">
        <f>1.51*0.9*2</f>
        <v>2.718</v>
      </c>
      <c r="G112" s="34" t="s">
        <v>192</v>
      </c>
      <c r="H112" s="34" t="s">
        <v>201</v>
      </c>
      <c r="I112" s="34"/>
      <c r="J112" s="34"/>
      <c r="K112" s="34" t="s">
        <v>202</v>
      </c>
    </row>
    <row r="113" ht="29" customHeight="1" spans="1:11">
      <c r="A113" s="28">
        <v>16</v>
      </c>
      <c r="B113" s="30"/>
      <c r="C113" s="60" t="s">
        <v>203</v>
      </c>
      <c r="D113" s="60" t="s">
        <v>16</v>
      </c>
      <c r="E113" s="31" t="s">
        <v>17</v>
      </c>
      <c r="F113" s="61">
        <f>4.95*2.3-0.8*2.1*2</f>
        <v>8.025</v>
      </c>
      <c r="G113" s="34" t="s">
        <v>204</v>
      </c>
      <c r="H113" s="34" t="s">
        <v>193</v>
      </c>
      <c r="I113" s="34"/>
      <c r="J113" s="34"/>
      <c r="K113" s="34"/>
    </row>
    <row r="114" ht="36" spans="1:11">
      <c r="A114" s="28">
        <v>17</v>
      </c>
      <c r="B114" s="30"/>
      <c r="C114" s="60" t="s">
        <v>205</v>
      </c>
      <c r="D114" s="60" t="s">
        <v>206</v>
      </c>
      <c r="E114" s="31" t="s">
        <v>151</v>
      </c>
      <c r="F114" s="61">
        <v>2</v>
      </c>
      <c r="G114" s="34" t="s">
        <v>192</v>
      </c>
      <c r="H114" s="34" t="s">
        <v>207</v>
      </c>
      <c r="I114" s="34"/>
      <c r="J114" s="34"/>
      <c r="K114" s="34" t="s">
        <v>194</v>
      </c>
    </row>
    <row r="115" ht="29" customHeight="1" spans="1:11">
      <c r="A115" s="28">
        <v>18</v>
      </c>
      <c r="B115" s="30"/>
      <c r="C115" s="60" t="s">
        <v>185</v>
      </c>
      <c r="D115" s="60" t="s">
        <v>186</v>
      </c>
      <c r="E115" s="31" t="s">
        <v>38</v>
      </c>
      <c r="F115" s="61">
        <f>33.4+5.9*2</f>
        <v>45.2</v>
      </c>
      <c r="G115" s="34" t="s">
        <v>192</v>
      </c>
      <c r="H115" s="34"/>
      <c r="I115" s="34"/>
      <c r="J115" s="34"/>
      <c r="K115" s="34"/>
    </row>
    <row r="116" ht="29" customHeight="1" spans="1:11">
      <c r="A116" s="28">
        <v>19</v>
      </c>
      <c r="B116" s="34" t="s">
        <v>208</v>
      </c>
      <c r="C116" s="60" t="s">
        <v>209</v>
      </c>
      <c r="D116" s="60" t="s">
        <v>124</v>
      </c>
      <c r="E116" s="31" t="s">
        <v>17</v>
      </c>
      <c r="F116" s="61">
        <f>8*2.3-0.8*2+7.73*2.3-0.8*2-2.51</f>
        <v>30.469</v>
      </c>
      <c r="G116" s="34" t="s">
        <v>210</v>
      </c>
      <c r="H116" s="34" t="s">
        <v>211</v>
      </c>
      <c r="I116" s="34"/>
      <c r="J116" s="34"/>
      <c r="K116" s="34" t="s">
        <v>126</v>
      </c>
    </row>
    <row r="117" ht="29" customHeight="1" spans="1:11">
      <c r="A117" s="28">
        <v>20</v>
      </c>
      <c r="B117" s="34"/>
      <c r="C117" s="60" t="s">
        <v>212</v>
      </c>
      <c r="D117" s="60" t="s">
        <v>174</v>
      </c>
      <c r="E117" s="31" t="s">
        <v>167</v>
      </c>
      <c r="F117" s="61">
        <v>3</v>
      </c>
      <c r="G117" s="34" t="s">
        <v>210</v>
      </c>
      <c r="H117" s="34" t="s">
        <v>213</v>
      </c>
      <c r="I117" s="34"/>
      <c r="J117" s="34"/>
      <c r="K117" s="34" t="s">
        <v>214</v>
      </c>
    </row>
    <row r="118" ht="29" customHeight="1" spans="1:11">
      <c r="A118" s="28">
        <v>21</v>
      </c>
      <c r="B118" s="34"/>
      <c r="C118" s="60" t="s">
        <v>215</v>
      </c>
      <c r="D118" s="60" t="s">
        <v>16</v>
      </c>
      <c r="E118" s="31" t="s">
        <v>167</v>
      </c>
      <c r="F118" s="61">
        <v>2</v>
      </c>
      <c r="G118" s="34" t="s">
        <v>210</v>
      </c>
      <c r="H118" s="34" t="s">
        <v>216</v>
      </c>
      <c r="I118" s="34"/>
      <c r="J118" s="34"/>
      <c r="K118" s="34"/>
    </row>
    <row r="119" ht="29" customHeight="1" spans="1:11">
      <c r="A119" s="28">
        <v>22</v>
      </c>
      <c r="B119" s="34"/>
      <c r="C119" s="60" t="s">
        <v>121</v>
      </c>
      <c r="D119" s="60" t="s">
        <v>16</v>
      </c>
      <c r="E119" s="31" t="s">
        <v>17</v>
      </c>
      <c r="F119" s="61">
        <f>1.16+1.35</f>
        <v>2.51</v>
      </c>
      <c r="G119" s="34" t="s">
        <v>217</v>
      </c>
      <c r="H119" s="34" t="s">
        <v>213</v>
      </c>
      <c r="I119" s="34"/>
      <c r="J119" s="34"/>
      <c r="K119" s="34"/>
    </row>
    <row r="120" ht="29" customHeight="1" spans="1:11">
      <c r="A120" s="28">
        <v>23</v>
      </c>
      <c r="B120" s="34"/>
      <c r="C120" s="60" t="s">
        <v>185</v>
      </c>
      <c r="D120" s="60" t="s">
        <v>186</v>
      </c>
      <c r="E120" s="31" t="s">
        <v>38</v>
      </c>
      <c r="F120" s="61">
        <f>7.7+7.9</f>
        <v>15.6</v>
      </c>
      <c r="G120" s="34" t="s">
        <v>210</v>
      </c>
      <c r="H120" s="34"/>
      <c r="I120" s="34"/>
      <c r="J120" s="34"/>
      <c r="K120" s="34" t="s">
        <v>218</v>
      </c>
    </row>
    <row r="121" ht="29" customHeight="1" spans="1:11">
      <c r="A121" s="28">
        <v>24</v>
      </c>
      <c r="B121" s="34"/>
      <c r="C121" s="60" t="s">
        <v>219</v>
      </c>
      <c r="D121" s="60" t="s">
        <v>220</v>
      </c>
      <c r="E121" s="31" t="s">
        <v>38</v>
      </c>
      <c r="F121" s="61">
        <f>1+1.13</f>
        <v>2.13</v>
      </c>
      <c r="G121" s="34" t="s">
        <v>217</v>
      </c>
      <c r="H121" s="34"/>
      <c r="I121" s="34"/>
      <c r="J121" s="34"/>
      <c r="K121" s="34" t="str">
        <f>_xlfn.DISPIMG("ID_6BAB14D970954C4A982D404A1A02D232",1)</f>
        <v>=DISPIMG("ID_6BAB14D970954C4A982D404A1A02D232",1)</v>
      </c>
    </row>
    <row r="122" ht="23" customHeight="1" spans="1:11">
      <c r="A122" s="56" t="s">
        <v>13</v>
      </c>
      <c r="B122" s="56"/>
      <c r="C122" s="57"/>
      <c r="D122" s="57"/>
      <c r="E122" s="58"/>
      <c r="F122" s="59"/>
      <c r="G122" s="57"/>
      <c r="H122" s="57"/>
      <c r="I122" s="57"/>
      <c r="J122" s="57"/>
      <c r="K122" s="57"/>
    </row>
    <row r="123" ht="29" customHeight="1" spans="1:11">
      <c r="A123" s="28">
        <v>1</v>
      </c>
      <c r="B123" s="30" t="s">
        <v>187</v>
      </c>
      <c r="C123" s="60" t="s">
        <v>221</v>
      </c>
      <c r="D123" s="60" t="s">
        <v>124</v>
      </c>
      <c r="E123" s="31" t="s">
        <v>17</v>
      </c>
      <c r="F123" s="61">
        <f>(4*2.6+3.32*2.36-0.46*0.8+2.7)+(4*2.6+5.15*2.36-0.9*2.1-0.46*0.8+2.7)</f>
        <v>43.5632</v>
      </c>
      <c r="G123" s="34" t="s">
        <v>192</v>
      </c>
      <c r="H123" s="34" t="s">
        <v>222</v>
      </c>
      <c r="I123" s="34"/>
      <c r="J123" s="34"/>
      <c r="K123" s="34" t="s">
        <v>126</v>
      </c>
    </row>
    <row r="124" ht="29" customHeight="1" spans="1:11">
      <c r="A124" s="28">
        <v>2</v>
      </c>
      <c r="B124" s="30"/>
      <c r="C124" s="60" t="s">
        <v>223</v>
      </c>
      <c r="D124" s="60" t="s">
        <v>16</v>
      </c>
      <c r="E124" s="31" t="s">
        <v>167</v>
      </c>
      <c r="F124" s="61">
        <v>1</v>
      </c>
      <c r="G124" s="34" t="s">
        <v>192</v>
      </c>
      <c r="H124" s="34" t="s">
        <v>224</v>
      </c>
      <c r="I124" s="34"/>
      <c r="J124" s="34"/>
      <c r="K124" s="34"/>
    </row>
    <row r="125" ht="29" customHeight="1" spans="1:11">
      <c r="A125" s="28">
        <v>3</v>
      </c>
      <c r="B125" s="30"/>
      <c r="C125" s="60" t="s">
        <v>225</v>
      </c>
      <c r="D125" s="60" t="s">
        <v>16</v>
      </c>
      <c r="E125" s="31" t="s">
        <v>17</v>
      </c>
      <c r="F125" s="61">
        <f>(7.1*2.36+6.1*2.6-1.3*1.85-0.65*1.6)*2</f>
        <v>58.342</v>
      </c>
      <c r="G125" s="34" t="s">
        <v>192</v>
      </c>
      <c r="H125" s="34" t="s">
        <v>226</v>
      </c>
      <c r="I125" s="34"/>
      <c r="J125" s="34"/>
      <c r="K125" s="34"/>
    </row>
    <row r="126" ht="29" customHeight="1" spans="1:11">
      <c r="A126" s="28">
        <v>4</v>
      </c>
      <c r="B126" s="30"/>
      <c r="C126" s="60" t="s">
        <v>227</v>
      </c>
      <c r="D126" s="60" t="s">
        <v>166</v>
      </c>
      <c r="E126" s="31" t="s">
        <v>167</v>
      </c>
      <c r="F126" s="61">
        <v>2</v>
      </c>
      <c r="G126" s="34" t="s">
        <v>192</v>
      </c>
      <c r="H126" s="34" t="s">
        <v>200</v>
      </c>
      <c r="I126" s="34"/>
      <c r="J126" s="34"/>
      <c r="K126" s="34" t="s">
        <v>175</v>
      </c>
    </row>
    <row r="127" ht="29" customHeight="1" spans="1:11">
      <c r="A127" s="28">
        <v>5</v>
      </c>
      <c r="B127" s="30"/>
      <c r="C127" s="60" t="s">
        <v>199</v>
      </c>
      <c r="D127" s="60" t="s">
        <v>16</v>
      </c>
      <c r="E127" s="31" t="s">
        <v>17</v>
      </c>
      <c r="F127" s="61">
        <f>5.5*2.29-1*2.29*2+(3.78+1.6+1.6)*2.29-1.15*2.1*2-0.7*2.29</f>
        <v>17.5662</v>
      </c>
      <c r="G127" s="34" t="s">
        <v>192</v>
      </c>
      <c r="H127" s="34" t="s">
        <v>228</v>
      </c>
      <c r="I127" s="34"/>
      <c r="J127" s="34"/>
      <c r="K127" s="34" t="s">
        <v>229</v>
      </c>
    </row>
    <row r="128" ht="29" customHeight="1" spans="1:11">
      <c r="A128" s="28">
        <v>6</v>
      </c>
      <c r="B128" s="30"/>
      <c r="C128" s="60" t="s">
        <v>230</v>
      </c>
      <c r="D128" s="60" t="s">
        <v>16</v>
      </c>
      <c r="E128" s="31" t="s">
        <v>167</v>
      </c>
      <c r="F128" s="61">
        <v>2</v>
      </c>
      <c r="G128" s="34" t="s">
        <v>192</v>
      </c>
      <c r="H128" s="34" t="s">
        <v>222</v>
      </c>
      <c r="I128" s="34"/>
      <c r="J128" s="34"/>
      <c r="K128" s="34"/>
    </row>
    <row r="129" ht="29" customHeight="1" spans="1:11">
      <c r="A129" s="28">
        <v>7</v>
      </c>
      <c r="B129" s="30"/>
      <c r="C129" s="60" t="s">
        <v>102</v>
      </c>
      <c r="D129" s="60" t="s">
        <v>21</v>
      </c>
      <c r="E129" s="31" t="s">
        <v>17</v>
      </c>
      <c r="F129" s="61">
        <f>1.51*0.9*2</f>
        <v>2.718</v>
      </c>
      <c r="G129" s="34" t="s">
        <v>192</v>
      </c>
      <c r="H129" s="34" t="s">
        <v>231</v>
      </c>
      <c r="I129" s="34"/>
      <c r="J129" s="34"/>
      <c r="K129" s="34" t="s">
        <v>202</v>
      </c>
    </row>
    <row r="130" ht="29" customHeight="1" spans="1:11">
      <c r="A130" s="28">
        <v>8</v>
      </c>
      <c r="B130" s="30"/>
      <c r="C130" s="60" t="s">
        <v>203</v>
      </c>
      <c r="D130" s="60" t="s">
        <v>16</v>
      </c>
      <c r="E130" s="31" t="s">
        <v>17</v>
      </c>
      <c r="F130" s="61">
        <f>3.82*2.25-0.8*2.1*2</f>
        <v>5.235</v>
      </c>
      <c r="G130" s="34" t="s">
        <v>204</v>
      </c>
      <c r="H130" s="34" t="s">
        <v>193</v>
      </c>
      <c r="I130" s="34"/>
      <c r="J130" s="34"/>
      <c r="K130" s="34"/>
    </row>
    <row r="131" ht="58" customHeight="1" spans="1:11">
      <c r="A131" s="28">
        <v>9</v>
      </c>
      <c r="B131" s="30"/>
      <c r="C131" s="60" t="s">
        <v>205</v>
      </c>
      <c r="D131" s="60" t="s">
        <v>206</v>
      </c>
      <c r="E131" s="31" t="s">
        <v>151</v>
      </c>
      <c r="F131" s="61">
        <v>2</v>
      </c>
      <c r="G131" s="34" t="s">
        <v>192</v>
      </c>
      <c r="H131" s="34" t="s">
        <v>193</v>
      </c>
      <c r="I131" s="34"/>
      <c r="J131" s="34"/>
      <c r="K131" s="34" t="s">
        <v>194</v>
      </c>
    </row>
    <row r="132" ht="29" customHeight="1" spans="1:11">
      <c r="A132" s="28">
        <v>10</v>
      </c>
      <c r="B132" s="30"/>
      <c r="C132" s="60" t="s">
        <v>185</v>
      </c>
      <c r="D132" s="60" t="s">
        <v>186</v>
      </c>
      <c r="E132" s="31" t="s">
        <v>38</v>
      </c>
      <c r="F132" s="61">
        <f>22.3+24.3</f>
        <v>46.6</v>
      </c>
      <c r="G132" s="34" t="s">
        <v>192</v>
      </c>
      <c r="H132" s="34"/>
      <c r="I132" s="34"/>
      <c r="J132" s="34"/>
      <c r="K132" s="34"/>
    </row>
    <row r="133" ht="29" customHeight="1" spans="1:11">
      <c r="A133" s="28">
        <v>11</v>
      </c>
      <c r="B133" s="30"/>
      <c r="C133" s="60" t="s">
        <v>219</v>
      </c>
      <c r="D133" s="60" t="s">
        <v>232</v>
      </c>
      <c r="E133" s="31" t="s">
        <v>38</v>
      </c>
      <c r="F133" s="61">
        <f>2.23*3</f>
        <v>6.69</v>
      </c>
      <c r="G133" s="34" t="s">
        <v>233</v>
      </c>
      <c r="H133" s="34" t="s">
        <v>222</v>
      </c>
      <c r="I133" s="34"/>
      <c r="J133" s="34"/>
      <c r="K133" s="34" t="str">
        <f>_xlfn.DISPIMG("ID_6BAB14D970954C4A982D404A1A02D232",1)</f>
        <v>=DISPIMG("ID_6BAB14D970954C4A982D404A1A02D232",1)</v>
      </c>
    </row>
    <row r="134" ht="29" customHeight="1" spans="1:11">
      <c r="A134" s="28">
        <v>12</v>
      </c>
      <c r="B134" s="34" t="s">
        <v>208</v>
      </c>
      <c r="C134" s="60" t="s">
        <v>209</v>
      </c>
      <c r="D134" s="60" t="s">
        <v>124</v>
      </c>
      <c r="E134" s="31" t="s">
        <v>17</v>
      </c>
      <c r="F134" s="61">
        <f>8*2.25-0.8*2+7.73*2.25-0.8*2-2.51</f>
        <v>29.6825</v>
      </c>
      <c r="G134" s="34" t="s">
        <v>210</v>
      </c>
      <c r="H134" s="34" t="s">
        <v>211</v>
      </c>
      <c r="I134" s="34"/>
      <c r="J134" s="34"/>
      <c r="K134" s="34" t="s">
        <v>126</v>
      </c>
    </row>
    <row r="135" ht="29" customHeight="1" spans="1:11">
      <c r="A135" s="28">
        <v>13</v>
      </c>
      <c r="B135" s="34"/>
      <c r="C135" s="60" t="s">
        <v>212</v>
      </c>
      <c r="D135" s="60" t="s">
        <v>174</v>
      </c>
      <c r="E135" s="31" t="s">
        <v>167</v>
      </c>
      <c r="F135" s="61">
        <v>2</v>
      </c>
      <c r="G135" s="34" t="s">
        <v>210</v>
      </c>
      <c r="H135" s="34" t="s">
        <v>234</v>
      </c>
      <c r="I135" s="34"/>
      <c r="J135" s="34"/>
      <c r="K135" s="34" t="s">
        <v>235</v>
      </c>
    </row>
    <row r="136" ht="29" customHeight="1" spans="1:11">
      <c r="A136" s="28">
        <v>14</v>
      </c>
      <c r="B136" s="34"/>
      <c r="C136" s="60" t="s">
        <v>215</v>
      </c>
      <c r="D136" s="60" t="s">
        <v>16</v>
      </c>
      <c r="E136" s="31" t="s">
        <v>167</v>
      </c>
      <c r="F136" s="61">
        <v>2</v>
      </c>
      <c r="G136" s="34" t="s">
        <v>210</v>
      </c>
      <c r="H136" s="34" t="s">
        <v>236</v>
      </c>
      <c r="I136" s="34"/>
      <c r="J136" s="34"/>
      <c r="K136" s="34"/>
    </row>
    <row r="137" ht="29" customHeight="1" spans="1:11">
      <c r="A137" s="28">
        <v>15</v>
      </c>
      <c r="B137" s="34"/>
      <c r="C137" s="60" t="s">
        <v>121</v>
      </c>
      <c r="D137" s="60" t="s">
        <v>16</v>
      </c>
      <c r="E137" s="31" t="s">
        <v>17</v>
      </c>
      <c r="F137" s="61">
        <f>1.16+1.35</f>
        <v>2.51</v>
      </c>
      <c r="G137" s="34" t="s">
        <v>217</v>
      </c>
      <c r="H137" s="34" t="s">
        <v>237</v>
      </c>
      <c r="I137" s="34"/>
      <c r="J137" s="34"/>
      <c r="K137" s="34"/>
    </row>
    <row r="138" ht="29" customHeight="1" spans="1:11">
      <c r="A138" s="28">
        <v>16</v>
      </c>
      <c r="B138" s="34"/>
      <c r="C138" s="60" t="s">
        <v>185</v>
      </c>
      <c r="D138" s="60" t="s">
        <v>186</v>
      </c>
      <c r="E138" s="31" t="s">
        <v>38</v>
      </c>
      <c r="F138" s="61">
        <f>9.7+6.8</f>
        <v>16.5</v>
      </c>
      <c r="G138" s="34" t="s">
        <v>210</v>
      </c>
      <c r="H138" s="34"/>
      <c r="I138" s="34"/>
      <c r="J138" s="34"/>
      <c r="K138" s="34"/>
    </row>
    <row r="139" ht="29" customHeight="1" spans="1:11">
      <c r="A139" s="28">
        <v>17</v>
      </c>
      <c r="B139" s="34"/>
      <c r="C139" s="60" t="s">
        <v>219</v>
      </c>
      <c r="D139" s="60" t="s">
        <v>232</v>
      </c>
      <c r="E139" s="31" t="s">
        <v>38</v>
      </c>
      <c r="F139" s="61">
        <f>1+1.13</f>
        <v>2.13</v>
      </c>
      <c r="G139" s="34" t="s">
        <v>217</v>
      </c>
      <c r="H139" s="34"/>
      <c r="I139" s="34"/>
      <c r="J139" s="34"/>
      <c r="K139" s="34" t="str">
        <f>_xlfn.DISPIMG("ID_6BAB14D970954C4A982D404A1A02D232",1)</f>
        <v>=DISPIMG("ID_6BAB14D970954C4A982D404A1A02D232",1)</v>
      </c>
    </row>
    <row r="140" ht="29" customHeight="1" spans="1:11">
      <c r="A140" s="56" t="s">
        <v>238</v>
      </c>
      <c r="B140" s="56"/>
      <c r="C140" s="57"/>
      <c r="D140" s="57"/>
      <c r="E140" s="58"/>
      <c r="F140" s="59"/>
      <c r="G140" s="57"/>
      <c r="H140" s="57"/>
      <c r="I140" s="57"/>
      <c r="J140" s="57"/>
      <c r="K140" s="57"/>
    </row>
    <row r="141" ht="29" customHeight="1" spans="1:11">
      <c r="A141" s="28">
        <v>1</v>
      </c>
      <c r="B141" s="34" t="s">
        <v>238</v>
      </c>
      <c r="C141" s="60" t="s">
        <v>239</v>
      </c>
      <c r="D141" s="60" t="s">
        <v>166</v>
      </c>
      <c r="E141" s="31" t="s">
        <v>17</v>
      </c>
      <c r="F141" s="61">
        <f>(1.48*2.44-0.18*1.48)*2*2</f>
        <v>13.3792</v>
      </c>
      <c r="G141" s="34" t="s">
        <v>240</v>
      </c>
      <c r="H141" s="34" t="s">
        <v>241</v>
      </c>
      <c r="I141" s="34"/>
      <c r="J141" s="34"/>
      <c r="K141" s="34" t="s">
        <v>242</v>
      </c>
    </row>
    <row r="142" ht="29" customHeight="1" spans="1:11">
      <c r="A142" s="56" t="s">
        <v>243</v>
      </c>
      <c r="B142" s="56"/>
      <c r="C142" s="57"/>
      <c r="D142" s="57"/>
      <c r="E142" s="58"/>
      <c r="F142" s="59"/>
      <c r="G142" s="57"/>
      <c r="H142" s="57"/>
      <c r="I142" s="57"/>
      <c r="J142" s="57"/>
      <c r="K142" s="57"/>
    </row>
    <row r="143" ht="29" customHeight="1" spans="1:11">
      <c r="A143" s="28">
        <v>1</v>
      </c>
      <c r="B143" s="30" t="s">
        <v>187</v>
      </c>
      <c r="C143" s="60" t="s">
        <v>244</v>
      </c>
      <c r="D143" s="60" t="s">
        <v>124</v>
      </c>
      <c r="E143" s="31" t="s">
        <v>17</v>
      </c>
      <c r="F143" s="61">
        <f>(4*2.55+4.45*2.29-0.8*1.9)*2</f>
        <v>37.741</v>
      </c>
      <c r="G143" s="34" t="s">
        <v>245</v>
      </c>
      <c r="H143" s="34" t="s">
        <v>246</v>
      </c>
      <c r="I143" s="34"/>
      <c r="J143" s="34"/>
      <c r="K143" s="34" t="s">
        <v>126</v>
      </c>
    </row>
    <row r="144" ht="29" customHeight="1" spans="1:11">
      <c r="A144" s="28">
        <v>2</v>
      </c>
      <c r="B144" s="30"/>
      <c r="C144" s="60" t="s">
        <v>247</v>
      </c>
      <c r="D144" s="60" t="s">
        <v>16</v>
      </c>
      <c r="E144" s="31" t="s">
        <v>17</v>
      </c>
      <c r="F144" s="61">
        <f>(11.4*2.29-0.9*1.9-2.5*2.1-1.6*2-0.65*1.6-0.9*1.9)*2</f>
        <v>26.392</v>
      </c>
      <c r="G144" s="34" t="s">
        <v>248</v>
      </c>
      <c r="H144" s="34" t="s">
        <v>249</v>
      </c>
      <c r="I144" s="34"/>
      <c r="J144" s="34"/>
      <c r="K144" s="34"/>
    </row>
    <row r="145" ht="29" customHeight="1" spans="1:11">
      <c r="A145" s="28">
        <v>3</v>
      </c>
      <c r="B145" s="30"/>
      <c r="C145" s="60" t="s">
        <v>250</v>
      </c>
      <c r="D145" s="60" t="s">
        <v>16</v>
      </c>
      <c r="E145" s="31" t="s">
        <v>167</v>
      </c>
      <c r="F145" s="61">
        <v>6</v>
      </c>
      <c r="G145" s="34" t="s">
        <v>192</v>
      </c>
      <c r="H145" s="34" t="s">
        <v>246</v>
      </c>
      <c r="I145" s="34"/>
      <c r="J145" s="34"/>
      <c r="K145" s="34"/>
    </row>
    <row r="146" ht="56" customHeight="1" spans="1:11">
      <c r="A146" s="28">
        <v>4</v>
      </c>
      <c r="B146" s="30"/>
      <c r="C146" s="60" t="s">
        <v>251</v>
      </c>
      <c r="D146" s="60" t="s">
        <v>206</v>
      </c>
      <c r="E146" s="31" t="s">
        <v>151</v>
      </c>
      <c r="F146" s="61">
        <v>2</v>
      </c>
      <c r="G146" s="34" t="s">
        <v>192</v>
      </c>
      <c r="H146" s="34" t="s">
        <v>224</v>
      </c>
      <c r="I146" s="34"/>
      <c r="J146" s="34"/>
      <c r="K146" s="34" t="s">
        <v>194</v>
      </c>
    </row>
    <row r="147" ht="29" customHeight="1" spans="1:11">
      <c r="A147" s="28">
        <v>5</v>
      </c>
      <c r="B147" s="30"/>
      <c r="C147" s="60" t="s">
        <v>252</v>
      </c>
      <c r="D147" s="60" t="s">
        <v>166</v>
      </c>
      <c r="E147" s="31" t="s">
        <v>167</v>
      </c>
      <c r="F147" s="61">
        <v>2</v>
      </c>
      <c r="G147" s="34" t="s">
        <v>192</v>
      </c>
      <c r="H147" s="34" t="s">
        <v>253</v>
      </c>
      <c r="I147" s="34"/>
      <c r="J147" s="34"/>
      <c r="K147" s="34" t="s">
        <v>175</v>
      </c>
    </row>
    <row r="148" ht="29" customHeight="1" spans="1:11">
      <c r="A148" s="28">
        <v>6</v>
      </c>
      <c r="B148" s="30"/>
      <c r="C148" s="62" t="s">
        <v>199</v>
      </c>
      <c r="D148" s="62" t="s">
        <v>16</v>
      </c>
      <c r="E148" s="31" t="s">
        <v>17</v>
      </c>
      <c r="F148" s="63">
        <f>(5.54-1*2)*2.29+(1.16*2.29)</f>
        <v>10.763</v>
      </c>
      <c r="G148" s="34" t="s">
        <v>192</v>
      </c>
      <c r="H148" s="34" t="s">
        <v>254</v>
      </c>
      <c r="I148" s="34"/>
      <c r="J148" s="34"/>
      <c r="K148" s="34"/>
    </row>
    <row r="149" ht="29" customHeight="1" spans="1:11">
      <c r="A149" s="28">
        <v>7</v>
      </c>
      <c r="B149" s="30"/>
      <c r="C149" s="62"/>
      <c r="D149" s="62"/>
      <c r="E149" s="31" t="s">
        <v>17</v>
      </c>
      <c r="F149" s="63">
        <f>(0.6+0.4)*2.78*5*2+(0.42*2.3*2*5*2)</f>
        <v>47.12</v>
      </c>
      <c r="G149" s="34" t="s">
        <v>255</v>
      </c>
      <c r="H149" s="34" t="s">
        <v>254</v>
      </c>
      <c r="I149" s="34"/>
      <c r="J149" s="34"/>
      <c r="K149" s="34"/>
    </row>
    <row r="150" ht="29" customHeight="1" spans="1:11">
      <c r="A150" s="28">
        <v>8</v>
      </c>
      <c r="B150" s="30"/>
      <c r="C150" s="62"/>
      <c r="D150" s="62"/>
      <c r="E150" s="31" t="s">
        <v>17</v>
      </c>
      <c r="F150" s="63">
        <f>0.9*2.23*2*2</f>
        <v>8.028</v>
      </c>
      <c r="G150" s="34" t="s">
        <v>255</v>
      </c>
      <c r="H150" s="34" t="s">
        <v>254</v>
      </c>
      <c r="I150" s="34"/>
      <c r="J150" s="34"/>
      <c r="K150" s="34"/>
    </row>
    <row r="151" ht="29" customHeight="1" spans="1:11">
      <c r="A151" s="28">
        <v>9</v>
      </c>
      <c r="B151" s="30"/>
      <c r="C151" s="62"/>
      <c r="D151" s="64" t="s">
        <v>256</v>
      </c>
      <c r="E151" s="31" t="s">
        <v>17</v>
      </c>
      <c r="F151" s="61">
        <f>0.4*2.23*5*2</f>
        <v>8.92</v>
      </c>
      <c r="G151" s="34" t="s">
        <v>255</v>
      </c>
      <c r="H151" s="34" t="s">
        <v>254</v>
      </c>
      <c r="I151" s="34"/>
      <c r="J151" s="34"/>
      <c r="K151" s="34"/>
    </row>
    <row r="152" ht="29" customHeight="1" spans="1:11">
      <c r="A152" s="28">
        <v>10</v>
      </c>
      <c r="B152" s="30"/>
      <c r="C152" s="62"/>
      <c r="D152" s="60" t="s">
        <v>257</v>
      </c>
      <c r="E152" s="31" t="s">
        <v>17</v>
      </c>
      <c r="F152" s="61">
        <f>0.25*2.78*5*2</f>
        <v>6.95</v>
      </c>
      <c r="G152" s="34" t="s">
        <v>258</v>
      </c>
      <c r="H152" s="34" t="s">
        <v>259</v>
      </c>
      <c r="I152" s="34"/>
      <c r="J152" s="34"/>
      <c r="K152" s="34" t="s">
        <v>202</v>
      </c>
    </row>
    <row r="153" ht="29" customHeight="1" spans="1:11">
      <c r="A153" s="28">
        <v>11</v>
      </c>
      <c r="B153" s="30"/>
      <c r="C153" s="60" t="s">
        <v>230</v>
      </c>
      <c r="D153" s="60" t="s">
        <v>16</v>
      </c>
      <c r="E153" s="31" t="s">
        <v>167</v>
      </c>
      <c r="F153" s="61">
        <v>2</v>
      </c>
      <c r="G153" s="34" t="s">
        <v>260</v>
      </c>
      <c r="H153" s="34" t="s">
        <v>246</v>
      </c>
      <c r="I153" s="34"/>
      <c r="J153" s="34"/>
      <c r="K153" s="34"/>
    </row>
    <row r="154" ht="29" customHeight="1" spans="1:11">
      <c r="A154" s="28">
        <v>12</v>
      </c>
      <c r="B154" s="30"/>
      <c r="C154" s="60" t="s">
        <v>261</v>
      </c>
      <c r="D154" s="60" t="s">
        <v>21</v>
      </c>
      <c r="E154" s="31" t="s">
        <v>17</v>
      </c>
      <c r="F154" s="61">
        <f>0.18*2.78*5*2</f>
        <v>5.004</v>
      </c>
      <c r="G154" s="34" t="s">
        <v>258</v>
      </c>
      <c r="H154" s="34" t="s">
        <v>262</v>
      </c>
      <c r="I154" s="34"/>
      <c r="J154" s="34"/>
      <c r="K154" s="34"/>
    </row>
    <row r="155" ht="29" customHeight="1" spans="1:11">
      <c r="A155" s="28">
        <v>13</v>
      </c>
      <c r="B155" s="30"/>
      <c r="C155" s="60" t="s">
        <v>203</v>
      </c>
      <c r="D155" s="60" t="s">
        <v>16</v>
      </c>
      <c r="E155" s="31" t="s">
        <v>17</v>
      </c>
      <c r="F155" s="61">
        <f>(3.6*2.29-0.9*2-1.1*2)*2</f>
        <v>8.488</v>
      </c>
      <c r="G155" s="34" t="s">
        <v>204</v>
      </c>
      <c r="H155" s="34" t="s">
        <v>246</v>
      </c>
      <c r="I155" s="34"/>
      <c r="J155" s="34"/>
      <c r="K155" s="34"/>
    </row>
    <row r="156" ht="52" customHeight="1" spans="1:11">
      <c r="A156" s="28">
        <v>14</v>
      </c>
      <c r="B156" s="30"/>
      <c r="C156" s="60" t="s">
        <v>205</v>
      </c>
      <c r="D156" s="60" t="s">
        <v>206</v>
      </c>
      <c r="E156" s="31" t="s">
        <v>151</v>
      </c>
      <c r="F156" s="61">
        <v>2</v>
      </c>
      <c r="G156" s="34" t="s">
        <v>204</v>
      </c>
      <c r="H156" s="34" t="s">
        <v>263</v>
      </c>
      <c r="I156" s="34"/>
      <c r="J156" s="34"/>
      <c r="K156" s="34" t="s">
        <v>194</v>
      </c>
    </row>
    <row r="157" ht="29" customHeight="1" spans="1:11">
      <c r="A157" s="28">
        <v>16</v>
      </c>
      <c r="B157" s="30"/>
      <c r="C157" s="60" t="s">
        <v>264</v>
      </c>
      <c r="D157" s="60" t="s">
        <v>16</v>
      </c>
      <c r="E157" s="31" t="s">
        <v>17</v>
      </c>
      <c r="F157" s="61">
        <f>2.83*2</f>
        <v>5.66</v>
      </c>
      <c r="G157" s="34" t="s">
        <v>248</v>
      </c>
      <c r="H157" s="34" t="s">
        <v>224</v>
      </c>
      <c r="I157" s="34"/>
      <c r="J157" s="34"/>
      <c r="K157" s="34" t="s">
        <v>179</v>
      </c>
    </row>
    <row r="158" ht="29" customHeight="1" spans="1:11">
      <c r="A158" s="28">
        <v>17</v>
      </c>
      <c r="B158" s="30"/>
      <c r="C158" s="60" t="s">
        <v>185</v>
      </c>
      <c r="D158" s="60" t="s">
        <v>186</v>
      </c>
      <c r="E158" s="31" t="s">
        <v>38</v>
      </c>
      <c r="F158" s="61">
        <f>(4.8+8.4+8.6+12+11.4)*2</f>
        <v>90.4</v>
      </c>
      <c r="G158" s="34" t="s">
        <v>192</v>
      </c>
      <c r="H158" s="34"/>
      <c r="I158" s="34"/>
      <c r="J158" s="34"/>
      <c r="K158" s="34" t="s">
        <v>218</v>
      </c>
    </row>
    <row r="159" ht="29" customHeight="1" spans="1:11">
      <c r="A159" s="28">
        <v>18</v>
      </c>
      <c r="B159" s="30"/>
      <c r="C159" s="60" t="s">
        <v>219</v>
      </c>
      <c r="D159" s="60" t="s">
        <v>220</v>
      </c>
      <c r="E159" s="31" t="s">
        <v>38</v>
      </c>
      <c r="F159" s="61">
        <f>4.5*5*2</f>
        <v>45</v>
      </c>
      <c r="G159" s="34" t="s">
        <v>192</v>
      </c>
      <c r="H159" s="34" t="s">
        <v>265</v>
      </c>
      <c r="I159" s="34"/>
      <c r="J159" s="34"/>
      <c r="K159" s="34" t="str">
        <f>_xlfn.DISPIMG("ID_6BAB14D970954C4A982D404A1A02D232",1)</f>
        <v>=DISPIMG("ID_6BAB14D970954C4A982D404A1A02D232",1)</v>
      </c>
    </row>
    <row r="160" ht="29" customHeight="1" spans="1:11">
      <c r="A160" s="28">
        <v>19</v>
      </c>
      <c r="B160" s="30"/>
      <c r="C160" s="60" t="s">
        <v>266</v>
      </c>
      <c r="D160" s="60" t="s">
        <v>267</v>
      </c>
      <c r="E160" s="31" t="s">
        <v>38</v>
      </c>
      <c r="F160" s="61">
        <f>(2.15*2+2.5)*5*2</f>
        <v>68</v>
      </c>
      <c r="G160" s="34" t="s">
        <v>192</v>
      </c>
      <c r="H160" s="34" t="s">
        <v>265</v>
      </c>
      <c r="I160" s="34"/>
      <c r="J160" s="34"/>
      <c r="K160" s="34" t="str">
        <f>_xlfn.DISPIMG("ID_002CAFA13D364F18A5A84079EF4EEC0A",1)</f>
        <v>=DISPIMG("ID_002CAFA13D364F18A5A84079EF4EEC0A",1)</v>
      </c>
    </row>
    <row r="161" ht="29" customHeight="1" spans="1:11">
      <c r="A161" s="28">
        <v>21</v>
      </c>
      <c r="B161" s="34" t="s">
        <v>268</v>
      </c>
      <c r="C161" s="60" t="s">
        <v>209</v>
      </c>
      <c r="D161" s="60" t="s">
        <v>124</v>
      </c>
      <c r="E161" s="31" t="s">
        <v>17</v>
      </c>
      <c r="F161" s="61">
        <f>14.89*2.3-0.8*2.1-3.45</f>
        <v>29.117</v>
      </c>
      <c r="G161" s="34" t="s">
        <v>210</v>
      </c>
      <c r="H161" s="34" t="s">
        <v>269</v>
      </c>
      <c r="I161" s="34"/>
      <c r="J161" s="34"/>
      <c r="K161" s="34" t="s">
        <v>126</v>
      </c>
    </row>
    <row r="162" ht="29" customHeight="1" spans="1:11">
      <c r="A162" s="28">
        <v>22</v>
      </c>
      <c r="B162" s="34"/>
      <c r="C162" s="60" t="s">
        <v>215</v>
      </c>
      <c r="D162" s="60" t="s">
        <v>16</v>
      </c>
      <c r="E162" s="31" t="s">
        <v>167</v>
      </c>
      <c r="F162" s="61">
        <v>1</v>
      </c>
      <c r="G162" s="34" t="s">
        <v>210</v>
      </c>
      <c r="H162" s="34" t="s">
        <v>193</v>
      </c>
      <c r="I162" s="34"/>
      <c r="J162" s="34"/>
      <c r="K162" s="34"/>
    </row>
    <row r="163" ht="29" customHeight="1" spans="1:11">
      <c r="A163" s="28">
        <v>23</v>
      </c>
      <c r="B163" s="34"/>
      <c r="C163" s="60" t="s">
        <v>121</v>
      </c>
      <c r="D163" s="60" t="s">
        <v>16</v>
      </c>
      <c r="E163" s="31" t="s">
        <v>17</v>
      </c>
      <c r="F163" s="61">
        <v>3.45</v>
      </c>
      <c r="G163" s="34" t="s">
        <v>217</v>
      </c>
      <c r="H163" s="34" t="s">
        <v>270</v>
      </c>
      <c r="I163" s="34"/>
      <c r="J163" s="34"/>
      <c r="K163" s="34"/>
    </row>
    <row r="164" ht="29" customHeight="1" spans="1:11">
      <c r="A164" s="28">
        <v>24</v>
      </c>
      <c r="B164" s="34"/>
      <c r="C164" s="60" t="s">
        <v>271</v>
      </c>
      <c r="D164" s="60" t="s">
        <v>256</v>
      </c>
      <c r="E164" s="31" t="s">
        <v>17</v>
      </c>
      <c r="F164" s="61">
        <f>(2.7+1.23+1.23)*2.2+0.5</f>
        <v>11.852</v>
      </c>
      <c r="G164" s="34" t="s">
        <v>272</v>
      </c>
      <c r="H164" s="34" t="s">
        <v>224</v>
      </c>
      <c r="I164" s="34"/>
      <c r="J164" s="34"/>
      <c r="K164" s="34" t="s">
        <v>273</v>
      </c>
    </row>
    <row r="165" ht="29" customHeight="1" spans="1:11">
      <c r="A165" s="28">
        <v>25</v>
      </c>
      <c r="B165" s="34"/>
      <c r="C165" s="60" t="s">
        <v>274</v>
      </c>
      <c r="D165" s="60" t="s">
        <v>256</v>
      </c>
      <c r="E165" s="31" t="s">
        <v>167</v>
      </c>
      <c r="F165" s="61">
        <v>3</v>
      </c>
      <c r="G165" s="34" t="s">
        <v>272</v>
      </c>
      <c r="H165" s="34" t="s">
        <v>224</v>
      </c>
      <c r="I165" s="34"/>
      <c r="J165" s="34"/>
      <c r="K165" s="34" t="s">
        <v>275</v>
      </c>
    </row>
    <row r="166" ht="29" customHeight="1" spans="1:11">
      <c r="A166" s="28">
        <v>26</v>
      </c>
      <c r="B166" s="34"/>
      <c r="C166" s="60" t="s">
        <v>276</v>
      </c>
      <c r="D166" s="60" t="s">
        <v>256</v>
      </c>
      <c r="E166" s="31" t="s">
        <v>167</v>
      </c>
      <c r="F166" s="61">
        <v>1</v>
      </c>
      <c r="G166" s="34" t="s">
        <v>272</v>
      </c>
      <c r="H166" s="34" t="s">
        <v>224</v>
      </c>
      <c r="I166" s="34"/>
      <c r="J166" s="34"/>
      <c r="K166" s="34" t="s">
        <v>273</v>
      </c>
    </row>
    <row r="167" ht="29" customHeight="1" spans="1:11">
      <c r="A167" s="28">
        <v>27</v>
      </c>
      <c r="B167" s="34" t="s">
        <v>277</v>
      </c>
      <c r="C167" s="60" t="s">
        <v>209</v>
      </c>
      <c r="D167" s="60" t="s">
        <v>124</v>
      </c>
      <c r="E167" s="31" t="s">
        <v>17</v>
      </c>
      <c r="F167" s="61">
        <f>14.89*2.3-0.8*2.1-3.45</f>
        <v>29.117</v>
      </c>
      <c r="G167" s="34" t="s">
        <v>210</v>
      </c>
      <c r="H167" s="34" t="s">
        <v>269</v>
      </c>
      <c r="I167" s="34"/>
      <c r="J167" s="34"/>
      <c r="K167" s="34"/>
    </row>
    <row r="168" ht="29" customHeight="1" spans="1:11">
      <c r="A168" s="28">
        <v>28</v>
      </c>
      <c r="B168" s="34"/>
      <c r="C168" s="60" t="s">
        <v>215</v>
      </c>
      <c r="D168" s="60" t="s">
        <v>16</v>
      </c>
      <c r="E168" s="31" t="s">
        <v>167</v>
      </c>
      <c r="F168" s="61">
        <v>1</v>
      </c>
      <c r="G168" s="34" t="s">
        <v>210</v>
      </c>
      <c r="H168" s="34" t="s">
        <v>193</v>
      </c>
      <c r="I168" s="34"/>
      <c r="J168" s="34"/>
      <c r="K168" s="34"/>
    </row>
    <row r="169" ht="29" customHeight="1" spans="1:11">
      <c r="A169" s="28">
        <v>29</v>
      </c>
      <c r="B169" s="34"/>
      <c r="C169" s="60" t="s">
        <v>121</v>
      </c>
      <c r="D169" s="60" t="s">
        <v>16</v>
      </c>
      <c r="E169" s="31" t="s">
        <v>17</v>
      </c>
      <c r="F169" s="61">
        <v>3.45</v>
      </c>
      <c r="G169" s="34" t="s">
        <v>217</v>
      </c>
      <c r="H169" s="34" t="s">
        <v>278</v>
      </c>
      <c r="I169" s="34"/>
      <c r="J169" s="34"/>
      <c r="K169" s="34"/>
    </row>
    <row r="170" ht="29" customHeight="1" spans="1:11">
      <c r="A170" s="28">
        <v>30</v>
      </c>
      <c r="B170" s="34"/>
      <c r="C170" s="60" t="s">
        <v>271</v>
      </c>
      <c r="D170" s="60" t="s">
        <v>256</v>
      </c>
      <c r="E170" s="31" t="s">
        <v>17</v>
      </c>
      <c r="F170" s="61">
        <f>(2.7+1.23+1.23)*2.2+0.5</f>
        <v>11.852</v>
      </c>
      <c r="G170" s="34" t="s">
        <v>272</v>
      </c>
      <c r="H170" s="34" t="s">
        <v>222</v>
      </c>
      <c r="I170" s="34"/>
      <c r="J170" s="34"/>
      <c r="K170" s="34" t="s">
        <v>273</v>
      </c>
    </row>
    <row r="171" ht="29" customHeight="1" spans="1:11">
      <c r="A171" s="28">
        <v>31</v>
      </c>
      <c r="B171" s="34"/>
      <c r="C171" s="60" t="s">
        <v>274</v>
      </c>
      <c r="D171" s="60" t="s">
        <v>256</v>
      </c>
      <c r="E171" s="31" t="s">
        <v>167</v>
      </c>
      <c r="F171" s="61">
        <v>3</v>
      </c>
      <c r="G171" s="34" t="s">
        <v>272</v>
      </c>
      <c r="H171" s="34" t="s">
        <v>222</v>
      </c>
      <c r="I171" s="34"/>
      <c r="J171" s="34"/>
      <c r="K171" s="34" t="s">
        <v>275</v>
      </c>
    </row>
    <row r="172" ht="29" customHeight="1" spans="1:11">
      <c r="A172" s="28">
        <v>32</v>
      </c>
      <c r="B172" s="34"/>
      <c r="C172" s="60" t="s">
        <v>185</v>
      </c>
      <c r="D172" s="60" t="s">
        <v>186</v>
      </c>
      <c r="E172" s="31" t="s">
        <v>38</v>
      </c>
      <c r="F172" s="61">
        <f>(14.8+5.1*2)*2</f>
        <v>50</v>
      </c>
      <c r="G172" s="34" t="s">
        <v>279</v>
      </c>
      <c r="H172" s="34"/>
      <c r="I172" s="34"/>
      <c r="J172" s="34"/>
      <c r="K172" s="34"/>
    </row>
    <row r="173" ht="29" customHeight="1" spans="1:11">
      <c r="A173" s="28">
        <v>33</v>
      </c>
      <c r="B173" s="34"/>
      <c r="C173" s="60" t="s">
        <v>219</v>
      </c>
      <c r="D173" s="60" t="s">
        <v>220</v>
      </c>
      <c r="E173" s="31" t="s">
        <v>38</v>
      </c>
      <c r="F173" s="61">
        <v>6</v>
      </c>
      <c r="G173" s="34" t="s">
        <v>217</v>
      </c>
      <c r="H173" s="34" t="s">
        <v>278</v>
      </c>
      <c r="I173" s="34"/>
      <c r="J173" s="34"/>
      <c r="K173" s="34" t="str">
        <f>_xlfn.DISPIMG("ID_6BAB14D970954C4A982D404A1A02D232",1)</f>
        <v>=DISPIMG("ID_6BAB14D970954C4A982D404A1A02D232",1)</v>
      </c>
    </row>
    <row r="174" ht="29" customHeight="1" spans="1:11">
      <c r="A174" s="28">
        <v>34</v>
      </c>
      <c r="B174" s="34" t="s">
        <v>280</v>
      </c>
      <c r="C174" s="60" t="s">
        <v>281</v>
      </c>
      <c r="D174" s="60" t="s">
        <v>16</v>
      </c>
      <c r="E174" s="31" t="s">
        <v>17</v>
      </c>
      <c r="F174" s="61">
        <f>(6.36*2.38-3.3*0.9-0.9*2)*2+(0.24*2.38*4+2.12*5.8)*2</f>
        <v>49.8952</v>
      </c>
      <c r="G174" s="34" t="s">
        <v>282</v>
      </c>
      <c r="H174" s="34" t="s">
        <v>283</v>
      </c>
      <c r="I174" s="34"/>
      <c r="J174" s="34"/>
      <c r="K174" s="34"/>
    </row>
    <row r="175" ht="29" customHeight="1" spans="1:11">
      <c r="A175" s="28">
        <v>35</v>
      </c>
      <c r="B175" s="34"/>
      <c r="C175" s="60" t="s">
        <v>284</v>
      </c>
      <c r="D175" s="60" t="s">
        <v>16</v>
      </c>
      <c r="E175" s="31" t="s">
        <v>167</v>
      </c>
      <c r="F175" s="61">
        <v>2</v>
      </c>
      <c r="G175" s="34" t="s">
        <v>282</v>
      </c>
      <c r="H175" s="34" t="s">
        <v>283</v>
      </c>
      <c r="I175" s="34"/>
      <c r="J175" s="34"/>
      <c r="K175" s="34"/>
    </row>
    <row r="176" ht="29" customHeight="1" spans="1:11">
      <c r="A176" s="28">
        <v>36</v>
      </c>
      <c r="B176" s="34"/>
      <c r="C176" s="60" t="s">
        <v>285</v>
      </c>
      <c r="D176" s="60" t="s">
        <v>16</v>
      </c>
      <c r="E176" s="31" t="s">
        <v>17</v>
      </c>
      <c r="F176" s="61">
        <f>(1.45+6.22)*2.38-0.65*1.6*2-1.51*0.9+(1.45+3.56)*2.38-1.51*0.9-0.9*2+(0.24*2.38*4+0.17*5.76*2)*2+0.45*6.46+0.45*13</f>
        <v>40.8238</v>
      </c>
      <c r="G176" s="34" t="s">
        <v>286</v>
      </c>
      <c r="H176" s="34" t="s">
        <v>287</v>
      </c>
      <c r="I176" s="34"/>
      <c r="J176" s="34"/>
      <c r="K176" s="34"/>
    </row>
    <row r="177" ht="29" customHeight="1" spans="1:11">
      <c r="A177" s="28">
        <v>37</v>
      </c>
      <c r="B177" s="34"/>
      <c r="C177" s="60" t="s">
        <v>288</v>
      </c>
      <c r="D177" s="60" t="s">
        <v>166</v>
      </c>
      <c r="E177" s="31" t="s">
        <v>167</v>
      </c>
      <c r="F177" s="61">
        <v>3</v>
      </c>
      <c r="G177" s="34" t="s">
        <v>286</v>
      </c>
      <c r="H177" s="34" t="s">
        <v>289</v>
      </c>
      <c r="I177" s="34"/>
      <c r="J177" s="34"/>
      <c r="K177" s="34" t="s">
        <v>290</v>
      </c>
    </row>
    <row r="178" ht="29" customHeight="1" spans="1:11">
      <c r="A178" s="28">
        <v>38</v>
      </c>
      <c r="B178" s="34"/>
      <c r="C178" s="60" t="s">
        <v>291</v>
      </c>
      <c r="D178" s="60" t="s">
        <v>16</v>
      </c>
      <c r="E178" s="31" t="s">
        <v>167</v>
      </c>
      <c r="F178" s="61">
        <v>1</v>
      </c>
      <c r="G178" s="34" t="s">
        <v>286</v>
      </c>
      <c r="H178" s="34"/>
      <c r="I178" s="34"/>
      <c r="J178" s="34"/>
      <c r="K178" s="34"/>
    </row>
    <row r="179" ht="29" customHeight="1" spans="1:11">
      <c r="A179" s="28">
        <v>39</v>
      </c>
      <c r="B179" s="34"/>
      <c r="C179" s="62" t="s">
        <v>261</v>
      </c>
      <c r="D179" s="60" t="s">
        <v>16</v>
      </c>
      <c r="E179" s="31" t="s">
        <v>17</v>
      </c>
      <c r="F179" s="61">
        <f>1.07*2.77*10*2+(0.56*2.45*2*10*2)</f>
        <v>114.158</v>
      </c>
      <c r="G179" s="34" t="s">
        <v>292</v>
      </c>
      <c r="H179" s="34" t="s">
        <v>198</v>
      </c>
      <c r="I179" s="34"/>
      <c r="J179" s="34"/>
      <c r="K179" s="34"/>
    </row>
    <row r="180" ht="29" customHeight="1" spans="1:11">
      <c r="A180" s="28">
        <v>40</v>
      </c>
      <c r="B180" s="34"/>
      <c r="C180" s="62"/>
      <c r="D180" s="60" t="s">
        <v>21</v>
      </c>
      <c r="E180" s="31" t="s">
        <v>17</v>
      </c>
      <c r="F180" s="61">
        <f>(0.18+0.24)*2.77*10*2</f>
        <v>23.268</v>
      </c>
      <c r="G180" s="34" t="s">
        <v>292</v>
      </c>
      <c r="H180" s="34" t="s">
        <v>198</v>
      </c>
      <c r="I180" s="34"/>
      <c r="J180" s="34"/>
      <c r="K180" s="34" t="s">
        <v>293</v>
      </c>
    </row>
    <row r="181" ht="29" customHeight="1" spans="1:11">
      <c r="A181" s="28">
        <v>41</v>
      </c>
      <c r="B181" s="34"/>
      <c r="C181" s="60" t="s">
        <v>199</v>
      </c>
      <c r="D181" s="60" t="s">
        <v>16</v>
      </c>
      <c r="E181" s="31" t="s">
        <v>17</v>
      </c>
      <c r="F181" s="61">
        <f>(0.4*2.38*9.5+1.86*2.38-1.6*2)*2</f>
        <v>20.5416</v>
      </c>
      <c r="G181" s="34" t="s">
        <v>294</v>
      </c>
      <c r="H181" s="34" t="s">
        <v>295</v>
      </c>
      <c r="I181" s="34"/>
      <c r="J181" s="34"/>
      <c r="K181" s="34"/>
    </row>
    <row r="182" ht="29" customHeight="1" spans="1:11">
      <c r="A182" s="28">
        <v>42</v>
      </c>
      <c r="B182" s="34"/>
      <c r="C182" s="60" t="s">
        <v>296</v>
      </c>
      <c r="D182" s="60" t="s">
        <v>21</v>
      </c>
      <c r="E182" s="31" t="s">
        <v>17</v>
      </c>
      <c r="F182" s="61">
        <f>1.51*0.9*4</f>
        <v>5.436</v>
      </c>
      <c r="G182" s="34" t="s">
        <v>297</v>
      </c>
      <c r="H182" s="34" t="s">
        <v>265</v>
      </c>
      <c r="I182" s="34"/>
      <c r="J182" s="34"/>
      <c r="K182" s="34" t="s">
        <v>202</v>
      </c>
    </row>
    <row r="183" ht="29" customHeight="1" spans="1:11">
      <c r="A183" s="28">
        <v>43</v>
      </c>
      <c r="B183" s="34"/>
      <c r="C183" s="60" t="s">
        <v>298</v>
      </c>
      <c r="D183" s="60" t="s">
        <v>186</v>
      </c>
      <c r="E183" s="31" t="s">
        <v>38</v>
      </c>
      <c r="F183" s="61">
        <f>(3.3+6.2+30+6.4+13)*2</f>
        <v>117.8</v>
      </c>
      <c r="G183" s="34" t="s">
        <v>297</v>
      </c>
      <c r="H183" s="34"/>
      <c r="I183" s="34"/>
      <c r="J183" s="34"/>
      <c r="K183" s="34"/>
    </row>
    <row r="184" ht="29" customHeight="1" spans="1:11">
      <c r="A184" s="28">
        <v>44</v>
      </c>
      <c r="B184" s="34"/>
      <c r="C184" s="60" t="s">
        <v>299</v>
      </c>
      <c r="D184" s="60" t="s">
        <v>220</v>
      </c>
      <c r="E184" s="31" t="s">
        <v>38</v>
      </c>
      <c r="F184" s="34">
        <f>2.27*2*10*2</f>
        <v>90.8</v>
      </c>
      <c r="G184" s="34" t="s">
        <v>297</v>
      </c>
      <c r="H184" s="34" t="s">
        <v>198</v>
      </c>
      <c r="I184" s="34"/>
      <c r="J184" s="34"/>
      <c r="K184" s="34" t="str">
        <f>_xlfn.DISPIMG("ID_6BAB14D970954C4A982D404A1A02D232",1)</f>
        <v>=DISPIMG("ID_6BAB14D970954C4A982D404A1A02D232",1)</v>
      </c>
    </row>
    <row r="185" ht="60" customHeight="1" spans="1:11">
      <c r="A185" s="28">
        <v>45</v>
      </c>
      <c r="B185" s="34"/>
      <c r="C185" s="60" t="s">
        <v>300</v>
      </c>
      <c r="D185" s="60" t="s">
        <v>267</v>
      </c>
      <c r="E185" s="31" t="s">
        <v>38</v>
      </c>
      <c r="F185" s="34">
        <f>2.27*2*10*2</f>
        <v>90.8</v>
      </c>
      <c r="G185" s="34" t="s">
        <v>297</v>
      </c>
      <c r="H185" s="34" t="s">
        <v>198</v>
      </c>
      <c r="I185" s="34"/>
      <c r="J185" s="34"/>
      <c r="K185" s="34" t="str">
        <f>_xlfn.DISPIMG("ID_72610ED4B93444DCB0BE0F76760467C5",1)</f>
        <v>=DISPIMG("ID_72610ED4B93444DCB0BE0F76760467C5",1)</v>
      </c>
    </row>
    <row r="186" ht="29" customHeight="1" spans="1:11">
      <c r="A186" s="56" t="s">
        <v>110</v>
      </c>
      <c r="B186" s="56"/>
      <c r="C186" s="57"/>
      <c r="D186" s="57"/>
      <c r="E186" s="58"/>
      <c r="F186" s="59"/>
      <c r="G186" s="57"/>
      <c r="H186" s="57"/>
      <c r="I186" s="57"/>
      <c r="J186" s="57"/>
      <c r="K186" s="57"/>
    </row>
    <row r="187" ht="29" customHeight="1" spans="1:11">
      <c r="A187" s="28">
        <v>1</v>
      </c>
      <c r="B187" s="30" t="s">
        <v>187</v>
      </c>
      <c r="C187" s="60" t="s">
        <v>244</v>
      </c>
      <c r="D187" s="60" t="s">
        <v>124</v>
      </c>
      <c r="E187" s="31" t="s">
        <v>17</v>
      </c>
      <c r="F187" s="61">
        <f>(8.67+9.8)*2.26-0.7*2-0.65*1.6</f>
        <v>39.3022</v>
      </c>
      <c r="G187" s="34" t="s">
        <v>245</v>
      </c>
      <c r="H187" s="34" t="s">
        <v>246</v>
      </c>
      <c r="I187" s="34"/>
      <c r="J187" s="34"/>
      <c r="K187" s="34" t="s">
        <v>126</v>
      </c>
    </row>
    <row r="188" ht="29" customHeight="1" spans="1:11">
      <c r="A188" s="28">
        <v>2</v>
      </c>
      <c r="B188" s="30"/>
      <c r="C188" s="62" t="s">
        <v>247</v>
      </c>
      <c r="D188" s="60" t="s">
        <v>16</v>
      </c>
      <c r="E188" s="31" t="s">
        <v>17</v>
      </c>
      <c r="F188" s="61">
        <f>(11.4*2.26-1.6*2-0.65*1.6-0.95*2-2.46*2.08)*2+1.07*2.77*6*2+0.45*2.16*2*6*2</f>
        <v>87.9092</v>
      </c>
      <c r="G188" s="34" t="s">
        <v>192</v>
      </c>
      <c r="H188" s="34" t="s">
        <v>301</v>
      </c>
      <c r="I188" s="34"/>
      <c r="J188" s="34"/>
      <c r="K188" s="34"/>
    </row>
    <row r="189" ht="29" customHeight="1" spans="1:11">
      <c r="A189" s="28">
        <v>3</v>
      </c>
      <c r="B189" s="30"/>
      <c r="C189" s="62"/>
      <c r="D189" s="60" t="s">
        <v>256</v>
      </c>
      <c r="E189" s="31" t="s">
        <v>17</v>
      </c>
      <c r="F189" s="61">
        <f>(0.4*2.26*5+0.8*2*2.26)*2+0.15*2.77*6*2</f>
        <v>21.258</v>
      </c>
      <c r="G189" s="34" t="s">
        <v>192</v>
      </c>
      <c r="H189" s="34" t="s">
        <v>265</v>
      </c>
      <c r="I189" s="34"/>
      <c r="J189" s="34"/>
      <c r="K189" s="34" t="s">
        <v>302</v>
      </c>
    </row>
    <row r="190" ht="29" customHeight="1" spans="1:11">
      <c r="A190" s="28">
        <v>4</v>
      </c>
      <c r="B190" s="30"/>
      <c r="C190" s="60" t="s">
        <v>250</v>
      </c>
      <c r="D190" s="60" t="s">
        <v>16</v>
      </c>
      <c r="E190" s="31" t="s">
        <v>167</v>
      </c>
      <c r="F190" s="61">
        <v>5</v>
      </c>
      <c r="G190" s="34" t="s">
        <v>192</v>
      </c>
      <c r="H190" s="34" t="s">
        <v>224</v>
      </c>
      <c r="I190" s="34"/>
      <c r="J190" s="34"/>
      <c r="K190" s="34"/>
    </row>
    <row r="191" ht="29" customHeight="1" spans="1:11">
      <c r="A191" s="28">
        <v>5</v>
      </c>
      <c r="B191" s="30"/>
      <c r="C191" s="60" t="s">
        <v>252</v>
      </c>
      <c r="D191" s="60" t="s">
        <v>166</v>
      </c>
      <c r="E191" s="31" t="s">
        <v>167</v>
      </c>
      <c r="F191" s="61">
        <v>2</v>
      </c>
      <c r="G191" s="34" t="s">
        <v>192</v>
      </c>
      <c r="H191" s="34" t="s">
        <v>246</v>
      </c>
      <c r="I191" s="34"/>
      <c r="J191" s="34"/>
      <c r="K191" s="34" t="s">
        <v>175</v>
      </c>
    </row>
    <row r="192" ht="29" customHeight="1" spans="1:11">
      <c r="A192" s="28">
        <v>6</v>
      </c>
      <c r="B192" s="30"/>
      <c r="C192" s="60" t="s">
        <v>303</v>
      </c>
      <c r="D192" s="60" t="s">
        <v>174</v>
      </c>
      <c r="E192" s="31" t="s">
        <v>167</v>
      </c>
      <c r="F192" s="61">
        <v>1</v>
      </c>
      <c r="G192" s="34" t="s">
        <v>192</v>
      </c>
      <c r="H192" s="34" t="s">
        <v>253</v>
      </c>
      <c r="I192" s="34"/>
      <c r="J192" s="34"/>
      <c r="K192" s="34" t="s">
        <v>235</v>
      </c>
    </row>
    <row r="193" ht="29" customHeight="1" spans="1:11">
      <c r="A193" s="28">
        <v>7</v>
      </c>
      <c r="B193" s="30"/>
      <c r="C193" s="60" t="s">
        <v>261</v>
      </c>
      <c r="D193" s="60" t="s">
        <v>21</v>
      </c>
      <c r="E193" s="31" t="s">
        <v>17</v>
      </c>
      <c r="F193" s="61">
        <f>0.18*2.77*6*2</f>
        <v>5.9832</v>
      </c>
      <c r="G193" s="34" t="s">
        <v>258</v>
      </c>
      <c r="H193" s="34" t="s">
        <v>265</v>
      </c>
      <c r="I193" s="34"/>
      <c r="J193" s="34"/>
      <c r="K193" s="34"/>
    </row>
    <row r="194" ht="29" customHeight="1" spans="1:11">
      <c r="A194" s="28">
        <v>8</v>
      </c>
      <c r="B194" s="30"/>
      <c r="C194" s="62" t="s">
        <v>199</v>
      </c>
      <c r="D194" s="60" t="s">
        <v>16</v>
      </c>
      <c r="E194" s="31" t="s">
        <v>17</v>
      </c>
      <c r="F194" s="63">
        <f>(5.54-1*2)*2.26+1.16*2.29</f>
        <v>10.6568</v>
      </c>
      <c r="G194" s="34" t="s">
        <v>192</v>
      </c>
      <c r="H194" s="34" t="s">
        <v>304</v>
      </c>
      <c r="I194" s="34"/>
      <c r="J194" s="34"/>
      <c r="K194" s="34" t="s">
        <v>229</v>
      </c>
    </row>
    <row r="195" ht="29" customHeight="1" spans="1:11">
      <c r="A195" s="28">
        <v>9</v>
      </c>
      <c r="B195" s="30"/>
      <c r="C195" s="62" t="s">
        <v>230</v>
      </c>
      <c r="D195" s="60" t="s">
        <v>16</v>
      </c>
      <c r="E195" s="31" t="s">
        <v>167</v>
      </c>
      <c r="F195" s="61">
        <v>2</v>
      </c>
      <c r="G195" s="34" t="s">
        <v>260</v>
      </c>
      <c r="H195" s="34" t="s">
        <v>246</v>
      </c>
      <c r="I195" s="34"/>
      <c r="J195" s="34"/>
      <c r="K195" s="34"/>
    </row>
    <row r="196" ht="29" customHeight="1" spans="1:11">
      <c r="A196" s="28">
        <v>10</v>
      </c>
      <c r="B196" s="30"/>
      <c r="C196" s="60" t="s">
        <v>203</v>
      </c>
      <c r="D196" s="60" t="s">
        <v>16</v>
      </c>
      <c r="E196" s="31" t="s">
        <v>17</v>
      </c>
      <c r="F196" s="61">
        <f>4.1*2.26-0.9*2*2</f>
        <v>5.666</v>
      </c>
      <c r="G196" s="34" t="s">
        <v>204</v>
      </c>
      <c r="H196" s="34" t="s">
        <v>246</v>
      </c>
      <c r="I196" s="34"/>
      <c r="J196" s="34"/>
      <c r="K196" s="34"/>
    </row>
    <row r="197" ht="53" customHeight="1" spans="1:11">
      <c r="A197" s="28">
        <v>11</v>
      </c>
      <c r="B197" s="30"/>
      <c r="C197" s="60" t="s">
        <v>205</v>
      </c>
      <c r="D197" s="60" t="s">
        <v>206</v>
      </c>
      <c r="E197" s="31" t="s">
        <v>151</v>
      </c>
      <c r="F197" s="61">
        <v>2</v>
      </c>
      <c r="G197" s="34" t="s">
        <v>204</v>
      </c>
      <c r="H197" s="34" t="s">
        <v>305</v>
      </c>
      <c r="I197" s="34"/>
      <c r="J197" s="34"/>
      <c r="K197" s="34" t="s">
        <v>194</v>
      </c>
    </row>
    <row r="198" ht="29" customHeight="1" spans="1:11">
      <c r="A198" s="28">
        <v>12</v>
      </c>
      <c r="B198" s="30"/>
      <c r="C198" s="60" t="s">
        <v>102</v>
      </c>
      <c r="D198" s="60" t="s">
        <v>21</v>
      </c>
      <c r="E198" s="31" t="s">
        <v>17</v>
      </c>
      <c r="F198" s="61">
        <f>1.51*0.9*2</f>
        <v>2.718</v>
      </c>
      <c r="G198" s="34" t="s">
        <v>192</v>
      </c>
      <c r="H198" s="34" t="s">
        <v>253</v>
      </c>
      <c r="I198" s="34"/>
      <c r="J198" s="34"/>
      <c r="K198" s="34" t="s">
        <v>202</v>
      </c>
    </row>
    <row r="199" ht="29" customHeight="1" spans="1:11">
      <c r="A199" s="28">
        <v>13</v>
      </c>
      <c r="B199" s="30"/>
      <c r="C199" s="60" t="s">
        <v>264</v>
      </c>
      <c r="D199" s="60" t="s">
        <v>16</v>
      </c>
      <c r="E199" s="31" t="s">
        <v>17</v>
      </c>
      <c r="F199" s="61">
        <f>2.83*2</f>
        <v>5.66</v>
      </c>
      <c r="G199" s="34" t="s">
        <v>306</v>
      </c>
      <c r="H199" s="34" t="s">
        <v>224</v>
      </c>
      <c r="I199" s="34"/>
      <c r="J199" s="34"/>
      <c r="K199" s="65"/>
    </row>
    <row r="200" ht="29" customHeight="1" spans="1:11">
      <c r="A200" s="28">
        <v>14</v>
      </c>
      <c r="B200" s="30"/>
      <c r="C200" s="60" t="s">
        <v>185</v>
      </c>
      <c r="D200" s="60" t="s">
        <v>186</v>
      </c>
      <c r="E200" s="31" t="s">
        <v>38</v>
      </c>
      <c r="F200" s="61">
        <f>38.9+41.9+5.54</f>
        <v>86.34</v>
      </c>
      <c r="G200" s="34" t="s">
        <v>192</v>
      </c>
      <c r="H200" s="34"/>
      <c r="I200" s="34"/>
      <c r="J200" s="34"/>
      <c r="K200" s="34"/>
    </row>
    <row r="201" ht="29" customHeight="1" spans="1:11">
      <c r="A201" s="28">
        <v>15</v>
      </c>
      <c r="B201" s="30"/>
      <c r="C201" s="60" t="s">
        <v>219</v>
      </c>
      <c r="D201" s="60" t="s">
        <v>220</v>
      </c>
      <c r="E201" s="31" t="s">
        <v>38</v>
      </c>
      <c r="F201" s="61">
        <f>4.4*5*2</f>
        <v>44</v>
      </c>
      <c r="G201" s="34" t="s">
        <v>192</v>
      </c>
      <c r="H201" s="34" t="s">
        <v>265</v>
      </c>
      <c r="I201" s="34"/>
      <c r="J201" s="34"/>
      <c r="K201" s="34" t="str">
        <f>_xlfn.DISPIMG("ID_6BAB14D970954C4A982D404A1A02D232",1)</f>
        <v>=DISPIMG("ID_6BAB14D970954C4A982D404A1A02D232",1)</v>
      </c>
    </row>
    <row r="202" ht="29" customHeight="1" spans="1:11">
      <c r="A202" s="28">
        <v>16</v>
      </c>
      <c r="B202" s="34" t="s">
        <v>208</v>
      </c>
      <c r="C202" s="60" t="s">
        <v>209</v>
      </c>
      <c r="D202" s="60" t="s">
        <v>124</v>
      </c>
      <c r="E202" s="31" t="s">
        <v>17</v>
      </c>
      <c r="F202" s="61">
        <f>8.9*2.22-0.8*2+12.3*2.22-0.8*2-3.11</f>
        <v>40.754</v>
      </c>
      <c r="G202" s="34" t="s">
        <v>210</v>
      </c>
      <c r="H202" s="34" t="s">
        <v>211</v>
      </c>
      <c r="I202" s="34"/>
      <c r="J202" s="34"/>
      <c r="K202" s="34" t="s">
        <v>126</v>
      </c>
    </row>
    <row r="203" ht="29" customHeight="1" spans="1:11">
      <c r="A203" s="28">
        <v>17</v>
      </c>
      <c r="B203" s="34"/>
      <c r="C203" s="60" t="s">
        <v>215</v>
      </c>
      <c r="D203" s="60" t="s">
        <v>16</v>
      </c>
      <c r="E203" s="31" t="s">
        <v>167</v>
      </c>
      <c r="F203" s="61">
        <v>2</v>
      </c>
      <c r="G203" s="34" t="s">
        <v>210</v>
      </c>
      <c r="H203" s="34" t="s">
        <v>236</v>
      </c>
      <c r="I203" s="34"/>
      <c r="J203" s="34"/>
      <c r="K203" s="34"/>
    </row>
    <row r="204" ht="29" customHeight="1" spans="1:11">
      <c r="A204" s="28">
        <v>18</v>
      </c>
      <c r="B204" s="34"/>
      <c r="C204" s="60" t="s">
        <v>121</v>
      </c>
      <c r="D204" s="60" t="s">
        <v>16</v>
      </c>
      <c r="E204" s="31" t="s">
        <v>17</v>
      </c>
      <c r="F204" s="61">
        <f>1.56+1.55</f>
        <v>3.11</v>
      </c>
      <c r="G204" s="34" t="s">
        <v>217</v>
      </c>
      <c r="H204" s="34" t="s">
        <v>237</v>
      </c>
      <c r="I204" s="34"/>
      <c r="J204" s="34"/>
      <c r="K204" s="34"/>
    </row>
    <row r="205" ht="29" customHeight="1" spans="1:11">
      <c r="A205" s="28">
        <v>19</v>
      </c>
      <c r="B205" s="34"/>
      <c r="C205" s="60" t="s">
        <v>185</v>
      </c>
      <c r="D205" s="60" t="s">
        <v>186</v>
      </c>
      <c r="E205" s="31" t="s">
        <v>38</v>
      </c>
      <c r="F205" s="61">
        <f>8.9+12.3</f>
        <v>21.2</v>
      </c>
      <c r="G205" s="34" t="s">
        <v>210</v>
      </c>
      <c r="H205" s="34"/>
      <c r="I205" s="34"/>
      <c r="J205" s="34"/>
      <c r="K205" s="34"/>
    </row>
    <row r="206" ht="29" customHeight="1" spans="1:11">
      <c r="A206" s="28">
        <v>20</v>
      </c>
      <c r="B206" s="34"/>
      <c r="C206" s="60" t="s">
        <v>219</v>
      </c>
      <c r="D206" s="60" t="s">
        <v>220</v>
      </c>
      <c r="E206" s="31" t="s">
        <v>38</v>
      </c>
      <c r="F206" s="61">
        <f>1.4+1.39</f>
        <v>2.79</v>
      </c>
      <c r="G206" s="34" t="s">
        <v>217</v>
      </c>
      <c r="H206" s="34" t="s">
        <v>237</v>
      </c>
      <c r="I206" s="34"/>
      <c r="J206" s="34"/>
      <c r="K206" s="34" t="str">
        <f>_xlfn.DISPIMG("ID_6BAB14D970954C4A982D404A1A02D232",1)</f>
        <v>=DISPIMG("ID_6BAB14D970954C4A982D404A1A02D232",1)</v>
      </c>
    </row>
    <row r="207" ht="29" customHeight="1" spans="1:11">
      <c r="A207" s="28">
        <v>21</v>
      </c>
      <c r="B207" s="34" t="s">
        <v>307</v>
      </c>
      <c r="C207" s="62" t="s">
        <v>281</v>
      </c>
      <c r="D207" s="60" t="s">
        <v>16</v>
      </c>
      <c r="E207" s="31" t="s">
        <v>17</v>
      </c>
      <c r="F207" s="61">
        <f>(6.36*2.38-3.3*0.9-0.9*2)*2+(0.24*2.38*4+2*5.8)*2+5.8*0.12</f>
        <v>49.1992</v>
      </c>
      <c r="G207" s="34" t="s">
        <v>308</v>
      </c>
      <c r="H207" s="34" t="s">
        <v>309</v>
      </c>
      <c r="I207" s="34"/>
      <c r="J207" s="34"/>
      <c r="K207" s="34"/>
    </row>
    <row r="208" ht="29" customHeight="1" spans="1:11">
      <c r="A208" s="28">
        <v>22</v>
      </c>
      <c r="B208" s="34"/>
      <c r="C208" s="62"/>
      <c r="D208" s="60" t="s">
        <v>16</v>
      </c>
      <c r="E208" s="31" t="s">
        <v>17</v>
      </c>
      <c r="F208" s="61">
        <f>(0.92*4+0.1*1.9)*2+(0.92*2.92+0.1*1.36)*2+1*7*2</f>
        <v>27.3848</v>
      </c>
      <c r="G208" s="34" t="s">
        <v>310</v>
      </c>
      <c r="H208" s="34" t="s">
        <v>311</v>
      </c>
      <c r="I208" s="34"/>
      <c r="J208" s="34"/>
      <c r="K208" s="34"/>
    </row>
    <row r="209" ht="29" customHeight="1" spans="1:11">
      <c r="A209" s="28">
        <v>23</v>
      </c>
      <c r="B209" s="34"/>
      <c r="C209" s="60" t="s">
        <v>284</v>
      </c>
      <c r="D209" s="60" t="s">
        <v>16</v>
      </c>
      <c r="E209" s="31" t="s">
        <v>167</v>
      </c>
      <c r="F209" s="61">
        <v>2</v>
      </c>
      <c r="G209" s="34" t="s">
        <v>308</v>
      </c>
      <c r="H209" s="34" t="s">
        <v>283</v>
      </c>
      <c r="I209" s="34"/>
      <c r="J209" s="34"/>
      <c r="K209" s="34"/>
    </row>
    <row r="210" ht="29" customHeight="1" spans="1:11">
      <c r="A210" s="28">
        <v>24</v>
      </c>
      <c r="B210" s="34"/>
      <c r="C210" s="60" t="s">
        <v>285</v>
      </c>
      <c r="D210" s="60" t="s">
        <v>16</v>
      </c>
      <c r="E210" s="31" t="s">
        <v>17</v>
      </c>
      <c r="F210" s="61">
        <f>(1.45+6.22)*2.4-0.65*1.6*2-1.51*0.9+(1.45+3.56)*2.4-1.51*0.9-0.9*2+(0.24*2.4*4+0.17*5.76*2)*2+0.45*6.46</f>
        <v>35.2658</v>
      </c>
      <c r="G210" s="34" t="s">
        <v>312</v>
      </c>
      <c r="H210" s="34" t="s">
        <v>287</v>
      </c>
      <c r="I210" s="34"/>
      <c r="J210" s="34"/>
      <c r="K210" s="34"/>
    </row>
    <row r="211" ht="29" customHeight="1" spans="1:11">
      <c r="A211" s="28">
        <v>25</v>
      </c>
      <c r="B211" s="34"/>
      <c r="C211" s="60" t="s">
        <v>288</v>
      </c>
      <c r="D211" s="60" t="s">
        <v>166</v>
      </c>
      <c r="E211" s="31" t="s">
        <v>167</v>
      </c>
      <c r="F211" s="61">
        <v>3</v>
      </c>
      <c r="G211" s="34" t="s">
        <v>312</v>
      </c>
      <c r="H211" s="34" t="s">
        <v>289</v>
      </c>
      <c r="I211" s="34"/>
      <c r="J211" s="34"/>
      <c r="K211" s="34" t="s">
        <v>290</v>
      </c>
    </row>
    <row r="212" ht="29" customHeight="1" spans="1:11">
      <c r="A212" s="28">
        <v>26</v>
      </c>
      <c r="B212" s="34"/>
      <c r="C212" s="60" t="s">
        <v>291</v>
      </c>
      <c r="D212" s="60" t="s">
        <v>16</v>
      </c>
      <c r="E212" s="31" t="s">
        <v>167</v>
      </c>
      <c r="F212" s="61">
        <v>1</v>
      </c>
      <c r="G212" s="34" t="s">
        <v>312</v>
      </c>
      <c r="H212" s="34"/>
      <c r="I212" s="34"/>
      <c r="J212" s="34"/>
      <c r="K212" s="34"/>
    </row>
    <row r="213" ht="29" customHeight="1" spans="1:11">
      <c r="A213" s="28">
        <v>27</v>
      </c>
      <c r="B213" s="34"/>
      <c r="C213" s="62" t="s">
        <v>313</v>
      </c>
      <c r="D213" s="62" t="s">
        <v>16</v>
      </c>
      <c r="E213" s="31" t="s">
        <v>17</v>
      </c>
      <c r="F213" s="61">
        <f>15.62*2.52-1.16*(6.73+1.17+1.17)-1*2.2*2-0.73*2.16*2+12.4*2.52-1.15*1.8*6-0.73*2.16</f>
        <v>38.5388</v>
      </c>
      <c r="G213" s="34" t="s">
        <v>310</v>
      </c>
      <c r="H213" s="34" t="s">
        <v>283</v>
      </c>
      <c r="I213" s="34"/>
      <c r="J213" s="34"/>
      <c r="K213" s="34"/>
    </row>
    <row r="214" ht="29" customHeight="1" spans="1:11">
      <c r="A214" s="28">
        <v>28</v>
      </c>
      <c r="B214" s="34"/>
      <c r="C214" s="62"/>
      <c r="D214" s="62"/>
      <c r="E214" s="31" t="s">
        <v>17</v>
      </c>
      <c r="F214" s="61">
        <f>16.6*2.4-1.16*(6.73+1.17+1.17)-1*2.2*2</f>
        <v>24.9188</v>
      </c>
      <c r="G214" s="34" t="s">
        <v>314</v>
      </c>
      <c r="H214" s="34" t="s">
        <v>283</v>
      </c>
      <c r="I214" s="34"/>
      <c r="J214" s="34"/>
      <c r="K214" s="34"/>
    </row>
    <row r="215" ht="29" customHeight="1" spans="1:11">
      <c r="A215" s="28">
        <v>29</v>
      </c>
      <c r="B215" s="34"/>
      <c r="C215" s="62"/>
      <c r="D215" s="60" t="s">
        <v>166</v>
      </c>
      <c r="E215" s="31" t="s">
        <v>17</v>
      </c>
      <c r="F215" s="61">
        <f>0.85*2.16</f>
        <v>1.836</v>
      </c>
      <c r="G215" s="34" t="s">
        <v>315</v>
      </c>
      <c r="H215" s="34" t="s">
        <v>316</v>
      </c>
      <c r="I215" s="34"/>
      <c r="J215" s="34"/>
      <c r="K215" s="34"/>
    </row>
    <row r="216" ht="52" customHeight="1" spans="1:11">
      <c r="A216" s="28">
        <v>30</v>
      </c>
      <c r="B216" s="34"/>
      <c r="C216" s="60" t="s">
        <v>317</v>
      </c>
      <c r="D216" s="60" t="s">
        <v>206</v>
      </c>
      <c r="E216" s="31" t="s">
        <v>151</v>
      </c>
      <c r="F216" s="61">
        <v>2</v>
      </c>
      <c r="G216" s="34" t="s">
        <v>315</v>
      </c>
      <c r="H216" s="34" t="s">
        <v>311</v>
      </c>
      <c r="I216" s="34"/>
      <c r="J216" s="34"/>
      <c r="K216" s="34" t="s">
        <v>318</v>
      </c>
    </row>
    <row r="217" ht="29" customHeight="1" spans="1:11">
      <c r="A217" s="28">
        <v>31</v>
      </c>
      <c r="B217" s="34"/>
      <c r="C217" s="62" t="s">
        <v>319</v>
      </c>
      <c r="D217" s="60" t="s">
        <v>124</v>
      </c>
      <c r="E217" s="31" t="s">
        <v>17</v>
      </c>
      <c r="F217" s="61">
        <f>0.73*2.16*3+2.23*2.32*2</f>
        <v>15.0776</v>
      </c>
      <c r="G217" s="34" t="s">
        <v>315</v>
      </c>
      <c r="H217" s="34" t="s">
        <v>320</v>
      </c>
      <c r="I217" s="34"/>
      <c r="J217" s="34"/>
      <c r="K217" s="34" t="s">
        <v>126</v>
      </c>
    </row>
    <row r="218" ht="29" customHeight="1" spans="1:11">
      <c r="A218" s="28">
        <v>32</v>
      </c>
      <c r="B218" s="34"/>
      <c r="C218" s="62" t="s">
        <v>261</v>
      </c>
      <c r="D218" s="60" t="s">
        <v>16</v>
      </c>
      <c r="E218" s="31" t="s">
        <v>17</v>
      </c>
      <c r="F218" s="61">
        <f>1.07*2.77*10*2+(0.56*2.45*2*10*2)</f>
        <v>114.158</v>
      </c>
      <c r="G218" s="34" t="s">
        <v>321</v>
      </c>
      <c r="H218" s="34" t="s">
        <v>198</v>
      </c>
      <c r="I218" s="34"/>
      <c r="J218" s="34"/>
      <c r="K218" s="34"/>
    </row>
    <row r="219" ht="29" customHeight="1" spans="1:11">
      <c r="A219" s="28">
        <v>33</v>
      </c>
      <c r="B219" s="34"/>
      <c r="C219" s="62"/>
      <c r="D219" s="60" t="s">
        <v>322</v>
      </c>
      <c r="E219" s="31" t="s">
        <v>17</v>
      </c>
      <c r="F219" s="61">
        <f>(0.18+0.24)*2.77*10*2</f>
        <v>23.268</v>
      </c>
      <c r="G219" s="34" t="s">
        <v>321</v>
      </c>
      <c r="H219" s="34" t="s">
        <v>198</v>
      </c>
      <c r="I219" s="34"/>
      <c r="J219" s="34"/>
      <c r="K219" s="34" t="s">
        <v>293</v>
      </c>
    </row>
    <row r="220" ht="29" customHeight="1" spans="1:11">
      <c r="A220" s="28">
        <v>34</v>
      </c>
      <c r="B220" s="34"/>
      <c r="C220" s="60" t="s">
        <v>199</v>
      </c>
      <c r="D220" s="60" t="s">
        <v>16</v>
      </c>
      <c r="E220" s="31" t="s">
        <v>17</v>
      </c>
      <c r="F220" s="61">
        <f>(0.4*2.38*9.5+1.86*2.4-1.6*2)*2</f>
        <v>20.616</v>
      </c>
      <c r="G220" s="34" t="s">
        <v>323</v>
      </c>
      <c r="H220" s="34" t="s">
        <v>295</v>
      </c>
      <c r="I220" s="34"/>
      <c r="J220" s="34"/>
      <c r="K220" s="34"/>
    </row>
    <row r="221" ht="29" customHeight="1" spans="1:11">
      <c r="A221" s="28">
        <v>35</v>
      </c>
      <c r="B221" s="34"/>
      <c r="C221" s="60" t="s">
        <v>296</v>
      </c>
      <c r="D221" s="60" t="s">
        <v>21</v>
      </c>
      <c r="E221" s="31" t="s">
        <v>17</v>
      </c>
      <c r="F221" s="61">
        <f>1.51*0.9*4</f>
        <v>5.436</v>
      </c>
      <c r="G221" s="34" t="s">
        <v>324</v>
      </c>
      <c r="H221" s="34" t="s">
        <v>265</v>
      </c>
      <c r="I221" s="34"/>
      <c r="J221" s="34"/>
      <c r="K221" s="34" t="s">
        <v>202</v>
      </c>
    </row>
    <row r="222" ht="29" customHeight="1" spans="1:11">
      <c r="A222" s="28">
        <v>36</v>
      </c>
      <c r="B222" s="34"/>
      <c r="C222" s="60" t="s">
        <v>298</v>
      </c>
      <c r="D222" s="60" t="s">
        <v>186</v>
      </c>
      <c r="E222" s="31" t="s">
        <v>38</v>
      </c>
      <c r="F222" s="61">
        <f>25.9+29.6*2+3.3*2+6.2+3.6</f>
        <v>101.5</v>
      </c>
      <c r="G222" s="34" t="s">
        <v>324</v>
      </c>
      <c r="H222" s="34"/>
      <c r="I222" s="34"/>
      <c r="J222" s="34"/>
      <c r="K222" s="34" t="s">
        <v>218</v>
      </c>
    </row>
    <row r="223" ht="29" customHeight="1" spans="1:11">
      <c r="A223" s="28">
        <v>37</v>
      </c>
      <c r="B223" s="34"/>
      <c r="C223" s="60" t="s">
        <v>185</v>
      </c>
      <c r="D223" s="60" t="s">
        <v>186</v>
      </c>
      <c r="E223" s="31" t="s">
        <v>38</v>
      </c>
      <c r="F223" s="61">
        <v>31.3</v>
      </c>
      <c r="G223" s="34" t="s">
        <v>310</v>
      </c>
      <c r="H223" s="34"/>
      <c r="I223" s="34"/>
      <c r="J223" s="34"/>
      <c r="K223" s="34" t="s">
        <v>218</v>
      </c>
    </row>
    <row r="224" ht="29" customHeight="1" spans="1:11">
      <c r="A224" s="28">
        <v>38</v>
      </c>
      <c r="B224" s="34"/>
      <c r="C224" s="60" t="s">
        <v>299</v>
      </c>
      <c r="D224" s="60" t="s">
        <v>220</v>
      </c>
      <c r="E224" s="31" t="s">
        <v>38</v>
      </c>
      <c r="F224" s="34">
        <f>2.27*2*10*2</f>
        <v>90.8</v>
      </c>
      <c r="G224" s="34" t="s">
        <v>324</v>
      </c>
      <c r="H224" s="34" t="s">
        <v>198</v>
      </c>
      <c r="I224" s="34"/>
      <c r="J224" s="34"/>
      <c r="K224" s="34" t="str">
        <f>_xlfn.DISPIMG("ID_6BAB14D970954C4A982D404A1A02D232",1)</f>
        <v>=DISPIMG("ID_6BAB14D970954C4A982D404A1A02D232",1)</v>
      </c>
    </row>
    <row r="225" ht="29" customHeight="1" spans="1:11">
      <c r="A225" s="28">
        <v>39</v>
      </c>
      <c r="B225" s="34"/>
      <c r="C225" s="60" t="s">
        <v>219</v>
      </c>
      <c r="D225" s="60" t="s">
        <v>220</v>
      </c>
      <c r="E225" s="31" t="s">
        <v>38</v>
      </c>
      <c r="F225" s="34">
        <f>5.82*3</f>
        <v>17.46</v>
      </c>
      <c r="G225" s="34" t="s">
        <v>310</v>
      </c>
      <c r="H225" s="34" t="s">
        <v>316</v>
      </c>
      <c r="I225" s="34"/>
      <c r="J225" s="34"/>
      <c r="K225" s="34" t="str">
        <f>_xlfn.DISPIMG("ID_6BAB14D970954C4A982D404A1A02D232",1)</f>
        <v>=DISPIMG("ID_6BAB14D970954C4A982D404A1A02D232",1)</v>
      </c>
    </row>
    <row r="226" ht="29" customHeight="1" spans="1:11">
      <c r="A226" s="28">
        <v>40</v>
      </c>
      <c r="B226" s="34"/>
      <c r="C226" s="60" t="s">
        <v>300</v>
      </c>
      <c r="D226" s="60" t="s">
        <v>267</v>
      </c>
      <c r="E226" s="31" t="s">
        <v>38</v>
      </c>
      <c r="F226" s="34">
        <f>2.27*2*10*2</f>
        <v>90.8</v>
      </c>
      <c r="G226" s="34" t="s">
        <v>324</v>
      </c>
      <c r="H226" s="34" t="s">
        <v>198</v>
      </c>
      <c r="I226" s="34"/>
      <c r="J226" s="34"/>
      <c r="K226" s="34" t="str">
        <f>_xlfn.DISPIMG("ID_484F8CC8F2054728823684F09C931950",1)</f>
        <v>=DISPIMG("ID_484F8CC8F2054728823684F09C931950",1)</v>
      </c>
    </row>
    <row r="227" ht="29" customHeight="1" spans="1:11">
      <c r="A227" s="56" t="s">
        <v>131</v>
      </c>
      <c r="B227" s="56"/>
      <c r="C227" s="57"/>
      <c r="D227" s="57"/>
      <c r="E227" s="58"/>
      <c r="F227" s="59"/>
      <c r="G227" s="57"/>
      <c r="H227" s="57"/>
      <c r="I227" s="57"/>
      <c r="J227" s="57"/>
      <c r="K227" s="57"/>
    </row>
    <row r="228" ht="29" customHeight="1" spans="1:11">
      <c r="A228" s="28">
        <v>1</v>
      </c>
      <c r="B228" s="30" t="s">
        <v>187</v>
      </c>
      <c r="C228" s="60" t="s">
        <v>244</v>
      </c>
      <c r="D228" s="60" t="s">
        <v>124</v>
      </c>
      <c r="E228" s="31" t="s">
        <v>17</v>
      </c>
      <c r="F228" s="61">
        <f>7.84*2.3-0.65*1.6*2</f>
        <v>15.952</v>
      </c>
      <c r="G228" s="34" t="s">
        <v>245</v>
      </c>
      <c r="H228" s="34" t="s">
        <v>246</v>
      </c>
      <c r="I228" s="34"/>
      <c r="J228" s="34"/>
      <c r="K228" s="34" t="s">
        <v>126</v>
      </c>
    </row>
    <row r="229" ht="29" customHeight="1" spans="1:11">
      <c r="A229" s="28">
        <v>2</v>
      </c>
      <c r="B229" s="30"/>
      <c r="C229" s="62" t="s">
        <v>247</v>
      </c>
      <c r="D229" s="60" t="s">
        <v>16</v>
      </c>
      <c r="E229" s="31" t="s">
        <v>17</v>
      </c>
      <c r="F229" s="61">
        <f>(3.72+0.87+11+8.58+14.72)*2.22-1.5*2*2-0.65*1.6*2-0.8*2*4-2.2*2.07*2+1.07*2.7*7+0.45*2.16*2*7</f>
        <v>96.5788</v>
      </c>
      <c r="G229" s="34" t="s">
        <v>192</v>
      </c>
      <c r="H229" s="34" t="s">
        <v>301</v>
      </c>
      <c r="I229" s="34"/>
      <c r="J229" s="34"/>
      <c r="K229" s="34"/>
    </row>
    <row r="230" ht="29" customHeight="1" spans="1:11">
      <c r="A230" s="28">
        <v>3</v>
      </c>
      <c r="B230" s="30"/>
      <c r="C230" s="62"/>
      <c r="D230" s="60" t="s">
        <v>325</v>
      </c>
      <c r="E230" s="31" t="s">
        <v>17</v>
      </c>
      <c r="F230" s="61">
        <f>0.4*2.3*4+0.7*3*2.3+0.15*2.7*7</f>
        <v>11.345</v>
      </c>
      <c r="G230" s="34" t="s">
        <v>192</v>
      </c>
      <c r="H230" s="34" t="s">
        <v>265</v>
      </c>
      <c r="I230" s="34"/>
      <c r="J230" s="34"/>
      <c r="K230" s="34" t="s">
        <v>326</v>
      </c>
    </row>
    <row r="231" ht="29" customHeight="1" spans="1:11">
      <c r="A231" s="28">
        <v>4</v>
      </c>
      <c r="B231" s="30"/>
      <c r="C231" s="60" t="s">
        <v>250</v>
      </c>
      <c r="D231" s="60" t="s">
        <v>16</v>
      </c>
      <c r="E231" s="31" t="s">
        <v>167</v>
      </c>
      <c r="F231" s="61">
        <v>6</v>
      </c>
      <c r="G231" s="34" t="s">
        <v>306</v>
      </c>
      <c r="H231" s="34" t="s">
        <v>224</v>
      </c>
      <c r="I231" s="34"/>
      <c r="J231" s="34"/>
      <c r="K231" s="34"/>
    </row>
    <row r="232" ht="29" customHeight="1" spans="1:11">
      <c r="A232" s="28">
        <v>5</v>
      </c>
      <c r="B232" s="30"/>
      <c r="C232" s="60" t="s">
        <v>252</v>
      </c>
      <c r="D232" s="60" t="s">
        <v>166</v>
      </c>
      <c r="E232" s="31" t="s">
        <v>167</v>
      </c>
      <c r="F232" s="61">
        <v>2</v>
      </c>
      <c r="G232" s="34" t="s">
        <v>192</v>
      </c>
      <c r="H232" s="34" t="s">
        <v>246</v>
      </c>
      <c r="I232" s="34"/>
      <c r="J232" s="34"/>
      <c r="K232" s="34" t="s">
        <v>175</v>
      </c>
    </row>
    <row r="233" ht="29" customHeight="1" spans="1:11">
      <c r="A233" s="28">
        <v>6</v>
      </c>
      <c r="B233" s="30"/>
      <c r="C233" s="60" t="s">
        <v>303</v>
      </c>
      <c r="D233" s="60" t="s">
        <v>174</v>
      </c>
      <c r="E233" s="31" t="s">
        <v>167</v>
      </c>
      <c r="F233" s="61">
        <v>2</v>
      </c>
      <c r="G233" s="34" t="s">
        <v>192</v>
      </c>
      <c r="H233" s="34" t="s">
        <v>253</v>
      </c>
      <c r="I233" s="34"/>
      <c r="J233" s="34"/>
      <c r="K233" s="34" t="s">
        <v>235</v>
      </c>
    </row>
    <row r="234" ht="29" customHeight="1" spans="1:11">
      <c r="A234" s="28">
        <v>7</v>
      </c>
      <c r="B234" s="30"/>
      <c r="C234" s="60" t="s">
        <v>261</v>
      </c>
      <c r="D234" s="60" t="s">
        <v>21</v>
      </c>
      <c r="E234" s="31" t="s">
        <v>17</v>
      </c>
      <c r="F234" s="61">
        <f>0.18*2.7*7</f>
        <v>3.402</v>
      </c>
      <c r="G234" s="34" t="s">
        <v>258</v>
      </c>
      <c r="H234" s="34" t="s">
        <v>265</v>
      </c>
      <c r="I234" s="34"/>
      <c r="J234" s="34"/>
      <c r="K234" s="34"/>
    </row>
    <row r="235" ht="29" customHeight="1" spans="1:11">
      <c r="A235" s="28">
        <v>8</v>
      </c>
      <c r="B235" s="30"/>
      <c r="C235" s="62" t="s">
        <v>199</v>
      </c>
      <c r="D235" s="60" t="s">
        <v>16</v>
      </c>
      <c r="E235" s="31" t="s">
        <v>17</v>
      </c>
      <c r="F235" s="63">
        <f>(5.54-1*2)*2.26+5.9*2.3-1.84*2.1</f>
        <v>17.7064</v>
      </c>
      <c r="G235" s="34" t="s">
        <v>192</v>
      </c>
      <c r="H235" s="34" t="s">
        <v>304</v>
      </c>
      <c r="I235" s="34"/>
      <c r="J235" s="34"/>
      <c r="K235" s="34"/>
    </row>
    <row r="236" ht="29" customHeight="1" spans="1:11">
      <c r="A236" s="28">
        <v>9</v>
      </c>
      <c r="B236" s="30"/>
      <c r="C236" s="62" t="s">
        <v>327</v>
      </c>
      <c r="D236" s="60" t="s">
        <v>16</v>
      </c>
      <c r="E236" s="31" t="s">
        <v>167</v>
      </c>
      <c r="F236" s="61">
        <v>2</v>
      </c>
      <c r="G236" s="34" t="s">
        <v>192</v>
      </c>
      <c r="H236" s="34" t="s">
        <v>246</v>
      </c>
      <c r="I236" s="34"/>
      <c r="J236" s="34"/>
      <c r="K236" s="34"/>
    </row>
    <row r="237" ht="29" customHeight="1" spans="1:11">
      <c r="A237" s="28">
        <v>10</v>
      </c>
      <c r="B237" s="30"/>
      <c r="C237" s="60" t="s">
        <v>203</v>
      </c>
      <c r="D237" s="60" t="s">
        <v>16</v>
      </c>
      <c r="E237" s="31" t="s">
        <v>17</v>
      </c>
      <c r="F237" s="61">
        <f>3.52*2.3-0.9*2*2</f>
        <v>4.496</v>
      </c>
      <c r="G237" s="34" t="s">
        <v>204</v>
      </c>
      <c r="H237" s="34" t="s">
        <v>305</v>
      </c>
      <c r="I237" s="34"/>
      <c r="J237" s="34"/>
      <c r="K237" s="34"/>
    </row>
    <row r="238" ht="57" customHeight="1" spans="1:11">
      <c r="A238" s="28">
        <v>11</v>
      </c>
      <c r="B238" s="30"/>
      <c r="C238" s="60" t="s">
        <v>205</v>
      </c>
      <c r="D238" s="60" t="s">
        <v>206</v>
      </c>
      <c r="E238" s="31" t="s">
        <v>151</v>
      </c>
      <c r="F238" s="61">
        <v>2</v>
      </c>
      <c r="G238" s="34" t="s">
        <v>204</v>
      </c>
      <c r="H238" s="34" t="s">
        <v>305</v>
      </c>
      <c r="I238" s="34"/>
      <c r="J238" s="34"/>
      <c r="K238" s="34" t="s">
        <v>194</v>
      </c>
    </row>
    <row r="239" ht="29" customHeight="1" spans="1:11">
      <c r="A239" s="28">
        <v>12</v>
      </c>
      <c r="B239" s="30"/>
      <c r="C239" s="60" t="s">
        <v>102</v>
      </c>
      <c r="D239" s="60" t="s">
        <v>21</v>
      </c>
      <c r="E239" s="31" t="s">
        <v>17</v>
      </c>
      <c r="F239" s="61">
        <f>1.51*0.9*2</f>
        <v>2.718</v>
      </c>
      <c r="G239" s="34" t="s">
        <v>192</v>
      </c>
      <c r="H239" s="34" t="s">
        <v>253</v>
      </c>
      <c r="I239" s="34"/>
      <c r="J239" s="34"/>
      <c r="K239" s="34" t="s">
        <v>202</v>
      </c>
    </row>
    <row r="240" ht="29" customHeight="1" spans="1:11">
      <c r="A240" s="28">
        <v>13</v>
      </c>
      <c r="B240" s="30"/>
      <c r="C240" s="60" t="s">
        <v>264</v>
      </c>
      <c r="D240" s="60" t="s">
        <v>16</v>
      </c>
      <c r="E240" s="31" t="s">
        <v>17</v>
      </c>
      <c r="F240" s="61">
        <f>2.73*2</f>
        <v>5.46</v>
      </c>
      <c r="G240" s="34" t="s">
        <v>306</v>
      </c>
      <c r="H240" s="34" t="s">
        <v>224</v>
      </c>
      <c r="I240" s="34"/>
      <c r="J240" s="34"/>
      <c r="K240" s="34" t="s">
        <v>179</v>
      </c>
    </row>
    <row r="241" ht="29" customHeight="1" spans="1:11">
      <c r="A241" s="28">
        <v>14</v>
      </c>
      <c r="B241" s="30"/>
      <c r="C241" s="60" t="s">
        <v>185</v>
      </c>
      <c r="D241" s="60" t="s">
        <v>186</v>
      </c>
      <c r="E241" s="31" t="s">
        <v>38</v>
      </c>
      <c r="F241" s="61">
        <f>64.8+5.54+3.72+15.4</f>
        <v>89.46</v>
      </c>
      <c r="G241" s="34" t="s">
        <v>192</v>
      </c>
      <c r="H241" s="34"/>
      <c r="I241" s="34"/>
      <c r="J241" s="34"/>
      <c r="K241" s="34" t="s">
        <v>218</v>
      </c>
    </row>
    <row r="242" ht="29" customHeight="1" spans="1:11">
      <c r="A242" s="28">
        <v>15</v>
      </c>
      <c r="B242" s="30"/>
      <c r="C242" s="60" t="s">
        <v>219</v>
      </c>
      <c r="D242" s="60" t="s">
        <v>220</v>
      </c>
      <c r="E242" s="31" t="s">
        <v>38</v>
      </c>
      <c r="F242" s="61">
        <f>4.4*4+2.18*6</f>
        <v>30.68</v>
      </c>
      <c r="G242" s="34" t="s">
        <v>192</v>
      </c>
      <c r="H242" s="34" t="s">
        <v>328</v>
      </c>
      <c r="I242" s="34"/>
      <c r="J242" s="34"/>
      <c r="K242" s="34" t="str">
        <f>_xlfn.DISPIMG("ID_6BAB14D970954C4A982D404A1A02D232",1)</f>
        <v>=DISPIMG("ID_6BAB14D970954C4A982D404A1A02D232",1)</v>
      </c>
    </row>
    <row r="243" ht="29" customHeight="1" spans="1:11">
      <c r="A243" s="28">
        <v>16</v>
      </c>
      <c r="B243" s="34" t="s">
        <v>208</v>
      </c>
      <c r="C243" s="60" t="s">
        <v>209</v>
      </c>
      <c r="D243" s="60" t="s">
        <v>124</v>
      </c>
      <c r="E243" s="31" t="s">
        <v>17</v>
      </c>
      <c r="F243" s="61">
        <f>7.6*2.22-0.8*2+8.8*2.22-0.8*2-1.25*1.67-2.82</f>
        <v>28.3005</v>
      </c>
      <c r="G243" s="34" t="s">
        <v>210</v>
      </c>
      <c r="H243" s="34" t="s">
        <v>211</v>
      </c>
      <c r="I243" s="34"/>
      <c r="J243" s="34"/>
      <c r="K243" s="34" t="s">
        <v>126</v>
      </c>
    </row>
    <row r="244" ht="29" customHeight="1" spans="1:11">
      <c r="A244" s="28">
        <v>17</v>
      </c>
      <c r="B244" s="34"/>
      <c r="C244" s="62" t="s">
        <v>329</v>
      </c>
      <c r="D244" s="60" t="s">
        <v>16</v>
      </c>
      <c r="E244" s="31" t="s">
        <v>17</v>
      </c>
      <c r="F244" s="61">
        <f>(0.26+0.18)*2.15+(0.7+0.7)*1.8</f>
        <v>3.466</v>
      </c>
      <c r="G244" s="34" t="s">
        <v>330</v>
      </c>
      <c r="H244" s="34" t="s">
        <v>222</v>
      </c>
      <c r="I244" s="34"/>
      <c r="J244" s="34"/>
      <c r="K244" s="34"/>
    </row>
    <row r="245" ht="29" customHeight="1" spans="1:11">
      <c r="A245" s="28">
        <v>18</v>
      </c>
      <c r="B245" s="34"/>
      <c r="C245" s="62"/>
      <c r="D245" s="60" t="s">
        <v>331</v>
      </c>
      <c r="E245" s="31" t="s">
        <v>17</v>
      </c>
      <c r="F245" s="61">
        <f>0.3*2.15</f>
        <v>0.645</v>
      </c>
      <c r="G245" s="34" t="s">
        <v>330</v>
      </c>
      <c r="H245" s="34" t="s">
        <v>222</v>
      </c>
      <c r="I245" s="34"/>
      <c r="J245" s="34"/>
      <c r="K245" s="34"/>
    </row>
    <row r="246" ht="29" customHeight="1" spans="1:11">
      <c r="A246" s="28">
        <v>19</v>
      </c>
      <c r="B246" s="34"/>
      <c r="C246" s="60" t="s">
        <v>215</v>
      </c>
      <c r="D246" s="60" t="s">
        <v>16</v>
      </c>
      <c r="E246" s="31" t="s">
        <v>167</v>
      </c>
      <c r="F246" s="61">
        <v>2</v>
      </c>
      <c r="G246" s="34" t="s">
        <v>210</v>
      </c>
      <c r="H246" s="34" t="s">
        <v>236</v>
      </c>
      <c r="I246" s="34"/>
      <c r="J246" s="34"/>
      <c r="K246" s="34"/>
    </row>
    <row r="247" ht="29" customHeight="1" spans="1:11">
      <c r="A247" s="28">
        <v>20</v>
      </c>
      <c r="B247" s="34"/>
      <c r="C247" s="60" t="s">
        <v>121</v>
      </c>
      <c r="D247" s="60" t="s">
        <v>16</v>
      </c>
      <c r="E247" s="31" t="s">
        <v>17</v>
      </c>
      <c r="F247" s="61">
        <f>1.25+1.57</f>
        <v>2.82</v>
      </c>
      <c r="G247" s="34" t="s">
        <v>217</v>
      </c>
      <c r="H247" s="34" t="s">
        <v>237</v>
      </c>
      <c r="I247" s="34"/>
      <c r="J247" s="34"/>
      <c r="K247" s="34"/>
    </row>
    <row r="248" ht="29" customHeight="1" spans="1:11">
      <c r="A248" s="28">
        <v>21</v>
      </c>
      <c r="B248" s="34"/>
      <c r="C248" s="60" t="s">
        <v>197</v>
      </c>
      <c r="D248" s="60" t="s">
        <v>166</v>
      </c>
      <c r="E248" s="31" t="s">
        <v>167</v>
      </c>
      <c r="F248" s="61">
        <v>2</v>
      </c>
      <c r="G248" s="34" t="s">
        <v>210</v>
      </c>
      <c r="H248" s="34" t="s">
        <v>332</v>
      </c>
      <c r="I248" s="34"/>
      <c r="J248" s="34"/>
      <c r="K248" s="34" t="s">
        <v>175</v>
      </c>
    </row>
    <row r="249" ht="29" customHeight="1" spans="1:11">
      <c r="A249" s="28">
        <v>22</v>
      </c>
      <c r="B249" s="34"/>
      <c r="C249" s="60" t="s">
        <v>185</v>
      </c>
      <c r="D249" s="60" t="s">
        <v>186</v>
      </c>
      <c r="E249" s="31" t="s">
        <v>38</v>
      </c>
      <c r="F249" s="61">
        <f>7.6+8.8</f>
        <v>16.4</v>
      </c>
      <c r="G249" s="34" t="s">
        <v>210</v>
      </c>
      <c r="H249" s="34"/>
      <c r="I249" s="34"/>
      <c r="J249" s="34"/>
      <c r="K249" s="34"/>
    </row>
    <row r="250" ht="29" customHeight="1" spans="1:11">
      <c r="A250" s="28">
        <v>23</v>
      </c>
      <c r="B250" s="34"/>
      <c r="C250" s="60" t="s">
        <v>219</v>
      </c>
      <c r="D250" s="60" t="s">
        <v>220</v>
      </c>
      <c r="E250" s="31" t="s">
        <v>38</v>
      </c>
      <c r="F250" s="61">
        <v>1.9</v>
      </c>
      <c r="G250" s="34" t="s">
        <v>217</v>
      </c>
      <c r="H250" s="34" t="s">
        <v>237</v>
      </c>
      <c r="I250" s="34"/>
      <c r="J250" s="34"/>
      <c r="K250" s="34" t="str">
        <f>_xlfn.DISPIMG("ID_6BAB14D970954C4A982D404A1A02D232",1)</f>
        <v>=DISPIMG("ID_6BAB14D970954C4A982D404A1A02D232",1)</v>
      </c>
    </row>
    <row r="251" ht="29" customHeight="1" spans="1:11">
      <c r="A251" s="28">
        <v>24</v>
      </c>
      <c r="B251" s="34" t="s">
        <v>333</v>
      </c>
      <c r="C251" s="62" t="s">
        <v>334</v>
      </c>
      <c r="D251" s="60" t="s">
        <v>16</v>
      </c>
      <c r="E251" s="31" t="s">
        <v>17</v>
      </c>
      <c r="F251" s="63">
        <f>(10.85*2.45-1.5*2-0.65*1.6-0.8*2-1.65*2.45)*2-2.72+(18*2.45-10-0.8*2-1.2*2-1.43*2.13-1.23*2.13)*2-2.72+(5.6+1.64+1.64)*2.45+2.12*1.95*2-0.7*2</f>
        <v>105.8524</v>
      </c>
      <c r="G251" s="34" t="s">
        <v>335</v>
      </c>
      <c r="H251" s="34" t="s">
        <v>336</v>
      </c>
      <c r="I251" s="34"/>
      <c r="J251" s="34"/>
      <c r="K251" s="34"/>
    </row>
    <row r="252" ht="29" customHeight="1" spans="1:11">
      <c r="A252" s="28">
        <v>25</v>
      </c>
      <c r="B252" s="34"/>
      <c r="C252" s="62"/>
      <c r="D252" s="60" t="s">
        <v>16</v>
      </c>
      <c r="E252" s="31" t="s">
        <v>17</v>
      </c>
      <c r="F252" s="61">
        <f>1.2*2.77*8*2+0.45*2.45*2*8*2</f>
        <v>88.464</v>
      </c>
      <c r="G252" s="34" t="s">
        <v>337</v>
      </c>
      <c r="H252" s="34" t="s">
        <v>338</v>
      </c>
      <c r="I252" s="34"/>
      <c r="J252" s="34"/>
      <c r="K252" s="34"/>
    </row>
    <row r="253" ht="29" customHeight="1" spans="1:11">
      <c r="A253" s="28">
        <v>26</v>
      </c>
      <c r="B253" s="34"/>
      <c r="C253" s="62"/>
      <c r="D253" s="60" t="s">
        <v>256</v>
      </c>
      <c r="E253" s="31" t="s">
        <v>17</v>
      </c>
      <c r="F253" s="61">
        <f>(23.85*2.4-2.55*2.27*8-0.29*2.16*7)*2</f>
        <v>13.0944</v>
      </c>
      <c r="G253" s="34" t="s">
        <v>337</v>
      </c>
      <c r="H253" s="34" t="s">
        <v>198</v>
      </c>
      <c r="I253" s="34"/>
      <c r="J253" s="34"/>
      <c r="K253" s="34"/>
    </row>
    <row r="254" ht="29" customHeight="1" spans="1:11">
      <c r="A254" s="28">
        <v>27</v>
      </c>
      <c r="B254" s="34"/>
      <c r="C254" s="62"/>
      <c r="D254" s="60" t="s">
        <v>21</v>
      </c>
      <c r="E254" s="31" t="s">
        <v>17</v>
      </c>
      <c r="F254" s="61">
        <f>1.51*0.9*6</f>
        <v>8.154</v>
      </c>
      <c r="G254" s="34" t="s">
        <v>339</v>
      </c>
      <c r="H254" s="34" t="s">
        <v>340</v>
      </c>
      <c r="I254" s="34"/>
      <c r="J254" s="34"/>
      <c r="K254" s="34" t="s">
        <v>202</v>
      </c>
    </row>
    <row r="255" ht="29" customHeight="1" spans="1:11">
      <c r="A255" s="28">
        <v>28</v>
      </c>
      <c r="B255" s="34"/>
      <c r="C255" s="62" t="s">
        <v>341</v>
      </c>
      <c r="D255" s="60" t="s">
        <v>16</v>
      </c>
      <c r="E255" s="31" t="s">
        <v>17</v>
      </c>
      <c r="F255" s="61">
        <f>(8.08*2.55-1.51*0.9-1*2.2-1.43*2.13-1.23*2.13)*2+(2+1.14)*2.55+0.9*2</f>
        <v>32.5654</v>
      </c>
      <c r="G255" s="34" t="s">
        <v>342</v>
      </c>
      <c r="H255" s="34" t="s">
        <v>336</v>
      </c>
      <c r="I255" s="34"/>
      <c r="J255" s="34"/>
      <c r="K255" s="34"/>
    </row>
    <row r="256" ht="29" customHeight="1" spans="1:11">
      <c r="A256" s="28"/>
      <c r="B256" s="34"/>
      <c r="C256" s="62"/>
      <c r="D256" s="60" t="s">
        <v>343</v>
      </c>
      <c r="E256" s="31" t="s">
        <v>38</v>
      </c>
      <c r="F256" s="61">
        <v>9.8</v>
      </c>
      <c r="G256" s="34" t="s">
        <v>344</v>
      </c>
      <c r="H256" s="34" t="s">
        <v>345</v>
      </c>
      <c r="I256" s="34"/>
      <c r="J256" s="34"/>
      <c r="K256" s="34"/>
    </row>
    <row r="257" ht="29" customHeight="1" spans="1:11">
      <c r="A257" s="28"/>
      <c r="B257" s="34"/>
      <c r="C257" s="62"/>
      <c r="D257" s="60" t="s">
        <v>346</v>
      </c>
      <c r="E257" s="31" t="s">
        <v>38</v>
      </c>
      <c r="F257" s="61">
        <v>9.8</v>
      </c>
      <c r="G257" s="34" t="s">
        <v>344</v>
      </c>
      <c r="H257" s="34"/>
      <c r="I257" s="34"/>
      <c r="J257" s="34"/>
      <c r="K257" s="34"/>
    </row>
    <row r="258" ht="29" customHeight="1" spans="1:11">
      <c r="A258" s="28">
        <v>29</v>
      </c>
      <c r="B258" s="34"/>
      <c r="C258" s="62"/>
      <c r="D258" s="60" t="s">
        <v>16</v>
      </c>
      <c r="E258" s="31" t="s">
        <v>17</v>
      </c>
      <c r="F258" s="61">
        <v>10.29</v>
      </c>
      <c r="G258" s="34" t="s">
        <v>344</v>
      </c>
      <c r="H258" s="34"/>
      <c r="I258" s="34"/>
      <c r="J258" s="34"/>
      <c r="K258" s="62"/>
    </row>
    <row r="259" ht="29" customHeight="1" spans="1:11">
      <c r="A259" s="28">
        <v>30</v>
      </c>
      <c r="B259" s="34"/>
      <c r="C259" s="62"/>
      <c r="D259" s="60" t="s">
        <v>16</v>
      </c>
      <c r="E259" s="31" t="s">
        <v>17</v>
      </c>
      <c r="F259" s="61">
        <f>(1.86*2.55-1.14*2.04)*6</f>
        <v>14.5044</v>
      </c>
      <c r="G259" s="34" t="s">
        <v>347</v>
      </c>
      <c r="H259" s="34" t="s">
        <v>348</v>
      </c>
      <c r="I259" s="34"/>
      <c r="J259" s="34"/>
      <c r="K259" s="34"/>
    </row>
    <row r="260" ht="29" customHeight="1" spans="1:11">
      <c r="A260" s="28">
        <v>31</v>
      </c>
      <c r="B260" s="34"/>
      <c r="C260" s="62"/>
      <c r="D260" s="60" t="s">
        <v>256</v>
      </c>
      <c r="E260" s="31" t="s">
        <v>17</v>
      </c>
      <c r="F260" s="61">
        <f>(4.98*2.43-1.14*2.27*3-0.29*2.16*2)*2</f>
        <v>6.17040000000001</v>
      </c>
      <c r="G260" s="34" t="s">
        <v>349</v>
      </c>
      <c r="H260" s="34" t="s">
        <v>348</v>
      </c>
      <c r="I260" s="34"/>
      <c r="J260" s="34"/>
      <c r="K260" s="34"/>
    </row>
    <row r="261" ht="29" customHeight="1" spans="1:11">
      <c r="A261" s="28">
        <v>32</v>
      </c>
      <c r="B261" s="34"/>
      <c r="C261" s="62" t="s">
        <v>261</v>
      </c>
      <c r="D261" s="60" t="s">
        <v>21</v>
      </c>
      <c r="E261" s="31" t="s">
        <v>17</v>
      </c>
      <c r="F261" s="61">
        <f>0.18*2.77*8*2+0.18*1.5*6</f>
        <v>9.5976</v>
      </c>
      <c r="G261" s="34" t="s">
        <v>350</v>
      </c>
      <c r="H261" s="34" t="s">
        <v>351</v>
      </c>
      <c r="I261" s="34"/>
      <c r="J261" s="34"/>
      <c r="K261" s="34" t="s">
        <v>202</v>
      </c>
    </row>
    <row r="262" ht="54" customHeight="1" spans="1:11">
      <c r="A262" s="28">
        <v>33</v>
      </c>
      <c r="B262" s="34"/>
      <c r="C262" s="66" t="s">
        <v>352</v>
      </c>
      <c r="D262" s="60" t="s">
        <v>353</v>
      </c>
      <c r="E262" s="31" t="s">
        <v>354</v>
      </c>
      <c r="F262" s="61">
        <v>2</v>
      </c>
      <c r="G262" s="34" t="s">
        <v>342</v>
      </c>
      <c r="H262" s="34" t="s">
        <v>355</v>
      </c>
      <c r="I262" s="34"/>
      <c r="J262" s="34"/>
      <c r="K262" s="62" t="str">
        <f>_xlfn.DISPIMG("ID_08B309C8464C4DFA8CFCD139918FB84A",1)</f>
        <v>=DISPIMG("ID_08B309C8464C4DFA8CFCD139918FB84A",1)</v>
      </c>
    </row>
    <row r="263" ht="29" customHeight="1" spans="1:11">
      <c r="A263" s="28">
        <v>34</v>
      </c>
      <c r="B263" s="34"/>
      <c r="C263" s="62" t="s">
        <v>356</v>
      </c>
      <c r="D263" s="60" t="s">
        <v>177</v>
      </c>
      <c r="E263" s="31" t="s">
        <v>17</v>
      </c>
      <c r="F263" s="61">
        <f>1.65*2.45*2+(2.6*2.45-1.51*0.9)*2</f>
        <v>18.107</v>
      </c>
      <c r="G263" s="34" t="s">
        <v>335</v>
      </c>
      <c r="H263" s="34" t="s">
        <v>198</v>
      </c>
      <c r="I263" s="34"/>
      <c r="J263" s="34"/>
      <c r="K263" s="34"/>
    </row>
    <row r="264" ht="29" customHeight="1" spans="1:11">
      <c r="A264" s="28">
        <v>35</v>
      </c>
      <c r="B264" s="34"/>
      <c r="C264" s="62" t="s">
        <v>357</v>
      </c>
      <c r="D264" s="60" t="s">
        <v>16</v>
      </c>
      <c r="E264" s="31" t="s">
        <v>167</v>
      </c>
      <c r="F264" s="61">
        <v>4</v>
      </c>
      <c r="G264" s="34" t="s">
        <v>335</v>
      </c>
      <c r="H264" s="34" t="s">
        <v>198</v>
      </c>
      <c r="I264" s="34"/>
      <c r="J264" s="34"/>
      <c r="K264" s="34"/>
    </row>
    <row r="265" ht="29" customHeight="1" spans="1:11">
      <c r="A265" s="28">
        <v>36</v>
      </c>
      <c r="B265" s="34"/>
      <c r="C265" s="62" t="s">
        <v>358</v>
      </c>
      <c r="D265" s="60" t="s">
        <v>166</v>
      </c>
      <c r="E265" s="31" t="s">
        <v>167</v>
      </c>
      <c r="F265" s="61">
        <v>2</v>
      </c>
      <c r="G265" s="34" t="s">
        <v>335</v>
      </c>
      <c r="H265" s="34" t="s">
        <v>198</v>
      </c>
      <c r="I265" s="34"/>
      <c r="J265" s="34"/>
      <c r="K265" s="34" t="s">
        <v>290</v>
      </c>
    </row>
    <row r="266" ht="95" customHeight="1" spans="1:11">
      <c r="A266" s="28">
        <v>37</v>
      </c>
      <c r="B266" s="34"/>
      <c r="C266" s="62" t="s">
        <v>359</v>
      </c>
      <c r="D266" s="60" t="s">
        <v>360</v>
      </c>
      <c r="E266" s="31" t="s">
        <v>151</v>
      </c>
      <c r="F266" s="61">
        <v>2</v>
      </c>
      <c r="G266" s="34" t="s">
        <v>361</v>
      </c>
      <c r="H266" s="34" t="s">
        <v>355</v>
      </c>
      <c r="I266" s="34"/>
      <c r="J266" s="34"/>
      <c r="K266" s="62" t="s">
        <v>362</v>
      </c>
    </row>
    <row r="267" ht="59" customHeight="1" spans="1:11">
      <c r="A267" s="28">
        <v>38</v>
      </c>
      <c r="B267" s="34"/>
      <c r="C267" s="62"/>
      <c r="D267" s="60" t="s">
        <v>206</v>
      </c>
      <c r="E267" s="31" t="s">
        <v>151</v>
      </c>
      <c r="F267" s="61">
        <v>1</v>
      </c>
      <c r="G267" s="34" t="s">
        <v>335</v>
      </c>
      <c r="H267" s="34" t="s">
        <v>363</v>
      </c>
      <c r="I267" s="34"/>
      <c r="J267" s="34"/>
      <c r="K267" s="34" t="s">
        <v>194</v>
      </c>
    </row>
    <row r="268" ht="29" customHeight="1" spans="1:11">
      <c r="A268" s="28">
        <v>39</v>
      </c>
      <c r="B268" s="34"/>
      <c r="C268" s="64" t="s">
        <v>364</v>
      </c>
      <c r="D268" s="60" t="s">
        <v>365</v>
      </c>
      <c r="E268" s="31" t="s">
        <v>17</v>
      </c>
      <c r="F268" s="61">
        <f>0.29*2.16*7*2+0.29*2.16*4</f>
        <v>11.2752</v>
      </c>
      <c r="G268" s="34" t="s">
        <v>366</v>
      </c>
      <c r="H268" s="34" t="s">
        <v>367</v>
      </c>
      <c r="I268" s="34"/>
      <c r="J268" s="34"/>
      <c r="K268" s="34" t="s">
        <v>202</v>
      </c>
    </row>
    <row r="269" ht="29" customHeight="1" spans="1:11">
      <c r="A269" s="28">
        <v>40</v>
      </c>
      <c r="B269" s="34"/>
      <c r="C269" s="60" t="s">
        <v>368</v>
      </c>
      <c r="D269" s="60" t="s">
        <v>124</v>
      </c>
      <c r="E269" s="31" t="s">
        <v>17</v>
      </c>
      <c r="F269" s="61">
        <f>24.8*2.45-0.8*2*2</f>
        <v>57.56</v>
      </c>
      <c r="G269" s="34" t="s">
        <v>335</v>
      </c>
      <c r="H269" s="34" t="s">
        <v>336</v>
      </c>
      <c r="I269" s="34"/>
      <c r="J269" s="34"/>
      <c r="K269" s="34" t="s">
        <v>126</v>
      </c>
    </row>
    <row r="270" ht="29" customHeight="1" spans="1:11">
      <c r="A270" s="28">
        <v>41</v>
      </c>
      <c r="B270" s="34"/>
      <c r="C270" s="60" t="s">
        <v>369</v>
      </c>
      <c r="D270" s="60" t="s">
        <v>16</v>
      </c>
      <c r="E270" s="31" t="s">
        <v>167</v>
      </c>
      <c r="F270" s="61">
        <v>2</v>
      </c>
      <c r="G270" s="34" t="s">
        <v>335</v>
      </c>
      <c r="H270" s="34" t="s">
        <v>370</v>
      </c>
      <c r="I270" s="34"/>
      <c r="J270" s="34"/>
      <c r="K270" s="34"/>
    </row>
    <row r="271" ht="29" customHeight="1" spans="1:11">
      <c r="A271" s="28">
        <v>42</v>
      </c>
      <c r="B271" s="34"/>
      <c r="C271" s="60" t="s">
        <v>185</v>
      </c>
      <c r="D271" s="60" t="s">
        <v>186</v>
      </c>
      <c r="E271" s="31" t="s">
        <v>38</v>
      </c>
      <c r="F271" s="61">
        <f>66.5*2+15.7+30.8</f>
        <v>179.5</v>
      </c>
      <c r="G271" s="34" t="s">
        <v>335</v>
      </c>
      <c r="H271" s="34"/>
      <c r="I271" s="34"/>
      <c r="J271" s="34"/>
      <c r="K271" s="34"/>
    </row>
    <row r="272" ht="29" customHeight="1" spans="1:11">
      <c r="A272" s="28">
        <v>43</v>
      </c>
      <c r="B272" s="34"/>
      <c r="C272" s="60" t="s">
        <v>219</v>
      </c>
      <c r="D272" s="60" t="s">
        <v>220</v>
      </c>
      <c r="E272" s="31" t="s">
        <v>38</v>
      </c>
      <c r="F272" s="34">
        <f>4.9*7*2+4.9*4</f>
        <v>88.2</v>
      </c>
      <c r="G272" s="34" t="s">
        <v>350</v>
      </c>
      <c r="H272" s="34" t="s">
        <v>367</v>
      </c>
      <c r="I272" s="34"/>
      <c r="J272" s="34"/>
      <c r="K272" s="34" t="str">
        <f>_xlfn.DISPIMG("ID_6BAB14D970954C4A982D404A1A02D232",1)</f>
        <v>=DISPIMG("ID_6BAB14D970954C4A982D404A1A02D232",1)</v>
      </c>
    </row>
    <row r="273" ht="29" customHeight="1" spans="1:11">
      <c r="A273" s="28">
        <v>44</v>
      </c>
      <c r="B273" s="34"/>
      <c r="C273" s="60" t="s">
        <v>266</v>
      </c>
      <c r="D273" s="60" t="s">
        <v>267</v>
      </c>
      <c r="E273" s="31" t="s">
        <v>38</v>
      </c>
      <c r="F273" s="34">
        <f>7.13*8*2+5.7*6</f>
        <v>148.28</v>
      </c>
      <c r="G273" s="34" t="s">
        <v>350</v>
      </c>
      <c r="H273" s="34" t="s">
        <v>367</v>
      </c>
      <c r="I273" s="34"/>
      <c r="J273" s="34"/>
      <c r="K273" s="34" t="str">
        <f>_xlfn.DISPIMG("ID_53EBF6ECEAF64AAFA0D08F70483E905E",1)</f>
        <v>=DISPIMG("ID_53EBF6ECEAF64AAFA0D08F70483E905E",1)</v>
      </c>
    </row>
    <row r="274" ht="29" customHeight="1" spans="1:11">
      <c r="A274" s="56" t="s">
        <v>371</v>
      </c>
      <c r="B274" s="56"/>
      <c r="C274" s="57"/>
      <c r="D274" s="57"/>
      <c r="E274" s="58"/>
      <c r="F274" s="59"/>
      <c r="G274" s="57"/>
      <c r="H274" s="57"/>
      <c r="I274" s="57"/>
      <c r="J274" s="57"/>
      <c r="K274" s="57"/>
    </row>
    <row r="275" ht="29" customHeight="1" spans="1:11">
      <c r="A275" s="28">
        <v>1</v>
      </c>
      <c r="B275" s="30" t="s">
        <v>187</v>
      </c>
      <c r="C275" s="60" t="s">
        <v>244</v>
      </c>
      <c r="D275" s="60" t="s">
        <v>124</v>
      </c>
      <c r="E275" s="31" t="s">
        <v>17</v>
      </c>
      <c r="F275" s="61">
        <f>9.8*2*2.3-0.65*1.6*2</f>
        <v>43</v>
      </c>
      <c r="G275" s="34" t="s">
        <v>245</v>
      </c>
      <c r="H275" s="34" t="s">
        <v>372</v>
      </c>
      <c r="I275" s="34"/>
      <c r="J275" s="34"/>
      <c r="K275" s="34" t="s">
        <v>126</v>
      </c>
    </row>
    <row r="276" ht="29" customHeight="1" spans="1:11">
      <c r="A276" s="28">
        <v>2</v>
      </c>
      <c r="B276" s="30"/>
      <c r="C276" s="62" t="s">
        <v>247</v>
      </c>
      <c r="D276" s="60" t="s">
        <v>16</v>
      </c>
      <c r="E276" s="31" t="s">
        <v>17</v>
      </c>
      <c r="F276" s="61">
        <f>(3.65+1+8.23+4.4*2+20)*2.19-1.5*2*2-0.65*1.6*2-0.8*2+1.07*2.7*7+0.45*2.16*2*7+1.6*(14.5+2.1+2.1)</f>
        <v>145.3502</v>
      </c>
      <c r="G276" s="34" t="s">
        <v>192</v>
      </c>
      <c r="H276" s="34" t="s">
        <v>373</v>
      </c>
      <c r="I276" s="34"/>
      <c r="J276" s="34"/>
      <c r="K276" s="34"/>
    </row>
    <row r="277" ht="29" customHeight="1" spans="1:11">
      <c r="A277" s="28">
        <v>3</v>
      </c>
      <c r="B277" s="30"/>
      <c r="C277" s="62"/>
      <c r="D277" s="60" t="s">
        <v>256</v>
      </c>
      <c r="E277" s="31" t="s">
        <v>17</v>
      </c>
      <c r="F277" s="61">
        <f>0.4*2.3*4+0.7*3*2.3+0.15*2.7*7</f>
        <v>11.345</v>
      </c>
      <c r="G277" s="34" t="s">
        <v>192</v>
      </c>
      <c r="H277" s="34" t="s">
        <v>374</v>
      </c>
      <c r="I277" s="34"/>
      <c r="J277" s="34"/>
      <c r="K277" s="34" t="s">
        <v>302</v>
      </c>
    </row>
    <row r="278" ht="29" customHeight="1" spans="1:11">
      <c r="A278" s="28">
        <v>4</v>
      </c>
      <c r="B278" s="30"/>
      <c r="C278" s="60" t="s">
        <v>250</v>
      </c>
      <c r="D278" s="60" t="s">
        <v>16</v>
      </c>
      <c r="E278" s="31" t="s">
        <v>167</v>
      </c>
      <c r="F278" s="61">
        <v>3</v>
      </c>
      <c r="G278" s="34" t="s">
        <v>306</v>
      </c>
      <c r="H278" s="34" t="s">
        <v>375</v>
      </c>
      <c r="I278" s="34"/>
      <c r="J278" s="34"/>
      <c r="K278" s="34"/>
    </row>
    <row r="279" ht="29" customHeight="1" spans="1:11">
      <c r="A279" s="28">
        <v>5</v>
      </c>
      <c r="B279" s="30"/>
      <c r="C279" s="60" t="s">
        <v>252</v>
      </c>
      <c r="D279" s="60" t="s">
        <v>166</v>
      </c>
      <c r="E279" s="31" t="s">
        <v>167</v>
      </c>
      <c r="F279" s="61">
        <v>2</v>
      </c>
      <c r="G279" s="34" t="s">
        <v>192</v>
      </c>
      <c r="H279" s="34" t="s">
        <v>283</v>
      </c>
      <c r="I279" s="34"/>
      <c r="J279" s="34"/>
      <c r="K279" s="34" t="s">
        <v>175</v>
      </c>
    </row>
    <row r="280" ht="29" customHeight="1" spans="1:11">
      <c r="A280" s="28">
        <v>6</v>
      </c>
      <c r="B280" s="30"/>
      <c r="C280" s="60" t="s">
        <v>376</v>
      </c>
      <c r="D280" s="60" t="s">
        <v>174</v>
      </c>
      <c r="E280" s="31" t="s">
        <v>167</v>
      </c>
      <c r="F280" s="61">
        <v>2</v>
      </c>
      <c r="G280" s="34" t="s">
        <v>192</v>
      </c>
      <c r="H280" s="34" t="s">
        <v>377</v>
      </c>
      <c r="I280" s="34"/>
      <c r="J280" s="34"/>
      <c r="K280" s="34" t="s">
        <v>235</v>
      </c>
    </row>
    <row r="281" ht="29" customHeight="1" spans="1:11">
      <c r="A281" s="28">
        <v>7</v>
      </c>
      <c r="B281" s="30"/>
      <c r="C281" s="60" t="s">
        <v>261</v>
      </c>
      <c r="D281" s="60" t="s">
        <v>21</v>
      </c>
      <c r="E281" s="31" t="s">
        <v>17</v>
      </c>
      <c r="F281" s="61">
        <f>0.18*2.7*7</f>
        <v>3.402</v>
      </c>
      <c r="G281" s="34" t="s">
        <v>258</v>
      </c>
      <c r="H281" s="34" t="s">
        <v>374</v>
      </c>
      <c r="I281" s="34"/>
      <c r="J281" s="34"/>
      <c r="K281" s="34"/>
    </row>
    <row r="282" ht="29" customHeight="1" spans="1:11">
      <c r="A282" s="28">
        <v>8</v>
      </c>
      <c r="B282" s="30"/>
      <c r="C282" s="62" t="s">
        <v>199</v>
      </c>
      <c r="D282" s="60" t="s">
        <v>16</v>
      </c>
      <c r="E282" s="31" t="s">
        <v>17</v>
      </c>
      <c r="F282" s="63">
        <f>(5.54-1*2)*2.3*2+1.16*2.29</f>
        <v>18.9404</v>
      </c>
      <c r="G282" s="34" t="s">
        <v>192</v>
      </c>
      <c r="H282" s="34" t="s">
        <v>378</v>
      </c>
      <c r="I282" s="34"/>
      <c r="J282" s="34"/>
      <c r="K282" s="34"/>
    </row>
    <row r="283" ht="29" customHeight="1" spans="1:11">
      <c r="A283" s="28">
        <v>9</v>
      </c>
      <c r="B283" s="30"/>
      <c r="C283" s="62" t="s">
        <v>230</v>
      </c>
      <c r="D283" s="60" t="s">
        <v>16</v>
      </c>
      <c r="E283" s="31" t="s">
        <v>167</v>
      </c>
      <c r="F283" s="61">
        <v>2</v>
      </c>
      <c r="G283" s="34" t="s">
        <v>192</v>
      </c>
      <c r="H283" s="34" t="s">
        <v>377</v>
      </c>
      <c r="I283" s="34"/>
      <c r="J283" s="34"/>
      <c r="K283" s="34"/>
    </row>
    <row r="284" ht="29" customHeight="1" spans="1:11">
      <c r="A284" s="28">
        <v>10</v>
      </c>
      <c r="B284" s="30"/>
      <c r="C284" s="60" t="s">
        <v>203</v>
      </c>
      <c r="D284" s="60" t="s">
        <v>16</v>
      </c>
      <c r="E284" s="31" t="s">
        <v>17</v>
      </c>
      <c r="F284" s="61">
        <f>3.5*2.19-0.9*2*2</f>
        <v>4.065</v>
      </c>
      <c r="G284" s="34" t="s">
        <v>204</v>
      </c>
      <c r="H284" s="34" t="s">
        <v>305</v>
      </c>
      <c r="I284" s="34"/>
      <c r="J284" s="34"/>
      <c r="K284" s="34"/>
    </row>
    <row r="285" ht="55" customHeight="1" spans="1:11">
      <c r="A285" s="28">
        <v>11</v>
      </c>
      <c r="B285" s="30"/>
      <c r="C285" s="60" t="s">
        <v>205</v>
      </c>
      <c r="D285" s="60" t="s">
        <v>206</v>
      </c>
      <c r="E285" s="31" t="s">
        <v>151</v>
      </c>
      <c r="F285" s="61">
        <v>2</v>
      </c>
      <c r="G285" s="34" t="s">
        <v>204</v>
      </c>
      <c r="H285" s="34" t="s">
        <v>305</v>
      </c>
      <c r="I285" s="34"/>
      <c r="J285" s="34"/>
      <c r="K285" s="34" t="s">
        <v>194</v>
      </c>
    </row>
    <row r="286" ht="29" customHeight="1" spans="1:11">
      <c r="A286" s="28">
        <v>12</v>
      </c>
      <c r="B286" s="30"/>
      <c r="C286" s="60" t="s">
        <v>285</v>
      </c>
      <c r="D286" s="60" t="s">
        <v>16</v>
      </c>
      <c r="E286" s="31" t="s">
        <v>17</v>
      </c>
      <c r="F286" s="61">
        <f>(4.14+4.65)*2.19</f>
        <v>19.2501</v>
      </c>
      <c r="G286" s="34" t="s">
        <v>379</v>
      </c>
      <c r="H286" s="34"/>
      <c r="I286" s="34"/>
      <c r="J286" s="34"/>
      <c r="K286" s="34"/>
    </row>
    <row r="287" ht="29" customHeight="1" spans="1:11">
      <c r="A287" s="28">
        <v>13</v>
      </c>
      <c r="B287" s="30"/>
      <c r="C287" s="60" t="s">
        <v>291</v>
      </c>
      <c r="D287" s="60" t="s">
        <v>16</v>
      </c>
      <c r="E287" s="31" t="s">
        <v>167</v>
      </c>
      <c r="F287" s="61">
        <v>4</v>
      </c>
      <c r="G287" s="34" t="s">
        <v>192</v>
      </c>
      <c r="H287" s="34"/>
      <c r="I287" s="34"/>
      <c r="J287" s="34"/>
      <c r="K287" s="34"/>
    </row>
    <row r="288" ht="29" customHeight="1" spans="1:11">
      <c r="A288" s="28">
        <v>14</v>
      </c>
      <c r="B288" s="30"/>
      <c r="C288" s="60" t="s">
        <v>102</v>
      </c>
      <c r="D288" s="60" t="s">
        <v>21</v>
      </c>
      <c r="E288" s="31" t="s">
        <v>17</v>
      </c>
      <c r="F288" s="61">
        <f>1.51*0.9*2</f>
        <v>2.718</v>
      </c>
      <c r="G288" s="34" t="s">
        <v>192</v>
      </c>
      <c r="H288" s="34" t="s">
        <v>253</v>
      </c>
      <c r="I288" s="34"/>
      <c r="J288" s="34"/>
      <c r="K288" s="34" t="s">
        <v>202</v>
      </c>
    </row>
    <row r="289" ht="29" customHeight="1" spans="1:11">
      <c r="A289" s="28">
        <v>15</v>
      </c>
      <c r="B289" s="30"/>
      <c r="C289" s="60" t="s">
        <v>185</v>
      </c>
      <c r="D289" s="60" t="s">
        <v>186</v>
      </c>
      <c r="E289" s="31" t="s">
        <v>38</v>
      </c>
      <c r="F289" s="61">
        <f>25+3.6+21+16.2+45.6+5.5*2</f>
        <v>122.4</v>
      </c>
      <c r="G289" s="34" t="s">
        <v>192</v>
      </c>
      <c r="H289" s="34"/>
      <c r="I289" s="34"/>
      <c r="J289" s="34"/>
      <c r="K289" s="34" t="s">
        <v>218</v>
      </c>
    </row>
    <row r="290" ht="29" customHeight="1" spans="1:11">
      <c r="A290" s="28">
        <v>16</v>
      </c>
      <c r="B290" s="30"/>
      <c r="C290" s="60" t="s">
        <v>219</v>
      </c>
      <c r="D290" s="60" t="s">
        <v>220</v>
      </c>
      <c r="E290" s="31" t="s">
        <v>38</v>
      </c>
      <c r="F290" s="61">
        <f>4.4*4</f>
        <v>17.6</v>
      </c>
      <c r="G290" s="34" t="s">
        <v>192</v>
      </c>
      <c r="H290" s="34" t="s">
        <v>265</v>
      </c>
      <c r="I290" s="34"/>
      <c r="J290" s="34"/>
      <c r="K290" s="34" t="str">
        <f>_xlfn.DISPIMG("ID_6BAB14D970954C4A982D404A1A02D232",1)</f>
        <v>=DISPIMG("ID_6BAB14D970954C4A982D404A1A02D232",1)</v>
      </c>
    </row>
    <row r="291" ht="29" customHeight="1" spans="1:11">
      <c r="A291" s="28">
        <v>17</v>
      </c>
      <c r="B291" s="30" t="s">
        <v>380</v>
      </c>
      <c r="C291" s="60" t="s">
        <v>285</v>
      </c>
      <c r="D291" s="60" t="s">
        <v>16</v>
      </c>
      <c r="E291" s="31" t="s">
        <v>17</v>
      </c>
      <c r="F291" s="61">
        <f>(4.1+6.7)*2.2-0.8*2-2.03*1.21+0.75*7.15+(3.8+7.1)*2.2--0.8*2-2.03*1.21+0.75*7.85</f>
        <v>54.0774</v>
      </c>
      <c r="G291" s="34" t="s">
        <v>381</v>
      </c>
      <c r="H291" s="34" t="s">
        <v>382</v>
      </c>
      <c r="I291" s="34"/>
      <c r="J291" s="34"/>
      <c r="K291" s="30"/>
    </row>
    <row r="292" ht="29" customHeight="1" spans="1:11">
      <c r="A292" s="28">
        <v>18</v>
      </c>
      <c r="B292" s="30"/>
      <c r="C292" s="60" t="s">
        <v>291</v>
      </c>
      <c r="D292" s="60" t="s">
        <v>16</v>
      </c>
      <c r="E292" s="31" t="s">
        <v>167</v>
      </c>
      <c r="F292" s="61">
        <v>2</v>
      </c>
      <c r="G292" s="34" t="s">
        <v>381</v>
      </c>
      <c r="H292" s="34" t="s">
        <v>383</v>
      </c>
      <c r="I292" s="34"/>
      <c r="J292" s="34"/>
      <c r="K292" s="30"/>
    </row>
    <row r="293" ht="29" customHeight="1" spans="1:11">
      <c r="A293" s="28">
        <v>19</v>
      </c>
      <c r="B293" s="30"/>
      <c r="C293" s="62" t="s">
        <v>384</v>
      </c>
      <c r="D293" s="60" t="s">
        <v>385</v>
      </c>
      <c r="E293" s="31" t="s">
        <v>17</v>
      </c>
      <c r="F293" s="61">
        <f>2.8*1.78+2.8*1.78</f>
        <v>9.968</v>
      </c>
      <c r="G293" s="34" t="s">
        <v>381</v>
      </c>
      <c r="H293" s="34" t="s">
        <v>382</v>
      </c>
      <c r="I293" s="34"/>
      <c r="J293" s="34"/>
      <c r="K293" s="34" t="s">
        <v>202</v>
      </c>
    </row>
    <row r="294" ht="29" customHeight="1" spans="1:11">
      <c r="A294" s="28">
        <v>20</v>
      </c>
      <c r="B294" s="30"/>
      <c r="C294" s="62"/>
      <c r="D294" s="60" t="s">
        <v>385</v>
      </c>
      <c r="E294" s="31" t="s">
        <v>17</v>
      </c>
      <c r="F294" s="61">
        <f>7.15*1.36+7.85*1.36</f>
        <v>20.4</v>
      </c>
      <c r="G294" s="34" t="s">
        <v>381</v>
      </c>
      <c r="H294" s="34" t="s">
        <v>382</v>
      </c>
      <c r="I294" s="34"/>
      <c r="J294" s="34"/>
      <c r="K294" s="34" t="s">
        <v>202</v>
      </c>
    </row>
    <row r="295" ht="29" customHeight="1" spans="1:11">
      <c r="A295" s="28">
        <v>21</v>
      </c>
      <c r="B295" s="30"/>
      <c r="C295" s="60" t="s">
        <v>102</v>
      </c>
      <c r="D295" s="60" t="s">
        <v>21</v>
      </c>
      <c r="E295" s="31" t="s">
        <v>17</v>
      </c>
      <c r="F295" s="61">
        <f>1.51*0.9*2+2.03*1.21*2</f>
        <v>7.6306</v>
      </c>
      <c r="G295" s="34" t="s">
        <v>381</v>
      </c>
      <c r="H295" s="34" t="s">
        <v>386</v>
      </c>
      <c r="I295" s="34"/>
      <c r="J295" s="34"/>
      <c r="K295" s="34" t="s">
        <v>202</v>
      </c>
    </row>
    <row r="296" ht="29" customHeight="1" spans="1:11">
      <c r="A296" s="28">
        <v>22</v>
      </c>
      <c r="B296" s="30"/>
      <c r="C296" s="60" t="s">
        <v>387</v>
      </c>
      <c r="D296" s="60" t="s">
        <v>186</v>
      </c>
      <c r="E296" s="31" t="s">
        <v>38</v>
      </c>
      <c r="F296" s="61">
        <f>21.5+20.6</f>
        <v>42.1</v>
      </c>
      <c r="G296" s="34" t="s">
        <v>381</v>
      </c>
      <c r="H296" s="34"/>
      <c r="I296" s="34"/>
      <c r="J296" s="34"/>
      <c r="K296" s="34" t="s">
        <v>218</v>
      </c>
    </row>
    <row r="297" ht="29" customHeight="1" spans="1:11">
      <c r="A297" s="28">
        <v>23</v>
      </c>
      <c r="B297" s="30"/>
      <c r="C297" s="60" t="s">
        <v>219</v>
      </c>
      <c r="D297" s="60" t="s">
        <v>388</v>
      </c>
      <c r="E297" s="31" t="s">
        <v>38</v>
      </c>
      <c r="F297" s="61">
        <f>1.36*2*(18+17)</f>
        <v>95.2</v>
      </c>
      <c r="G297" s="34" t="s">
        <v>381</v>
      </c>
      <c r="H297" s="34" t="s">
        <v>386</v>
      </c>
      <c r="I297" s="34"/>
      <c r="J297" s="34"/>
      <c r="K297" s="34"/>
    </row>
    <row r="298" ht="29" customHeight="1" spans="1:11">
      <c r="A298" s="28">
        <v>24</v>
      </c>
      <c r="B298" s="34" t="s">
        <v>208</v>
      </c>
      <c r="C298" s="60" t="s">
        <v>209</v>
      </c>
      <c r="D298" s="60" t="s">
        <v>124</v>
      </c>
      <c r="E298" s="31" t="s">
        <v>17</v>
      </c>
      <c r="F298" s="61">
        <f>7.6*2.22-0.8*2+8.8*2.22-0.8*2-1.25*1.67-2.82</f>
        <v>28.3005</v>
      </c>
      <c r="G298" s="34" t="s">
        <v>210</v>
      </c>
      <c r="H298" s="34" t="s">
        <v>211</v>
      </c>
      <c r="I298" s="34"/>
      <c r="J298" s="34"/>
      <c r="K298" s="34" t="s">
        <v>126</v>
      </c>
    </row>
    <row r="299" ht="29" customHeight="1" spans="1:11">
      <c r="A299" s="28">
        <v>25</v>
      </c>
      <c r="B299" s="34"/>
      <c r="C299" s="62" t="s">
        <v>329</v>
      </c>
      <c r="D299" s="60" t="s">
        <v>16</v>
      </c>
      <c r="E299" s="31" t="s">
        <v>17</v>
      </c>
      <c r="F299" s="61">
        <f>(0.26+0.18)*2.15+(0.7+0.7)*1.8</f>
        <v>3.466</v>
      </c>
      <c r="G299" s="34" t="s">
        <v>330</v>
      </c>
      <c r="H299" s="34" t="s">
        <v>222</v>
      </c>
      <c r="I299" s="34"/>
      <c r="J299" s="34"/>
      <c r="K299" s="34"/>
    </row>
    <row r="300" ht="29" customHeight="1" spans="1:11">
      <c r="A300" s="28">
        <v>26</v>
      </c>
      <c r="B300" s="34"/>
      <c r="C300" s="62"/>
      <c r="D300" s="60" t="s">
        <v>331</v>
      </c>
      <c r="E300" s="31" t="s">
        <v>17</v>
      </c>
      <c r="F300" s="61">
        <f>0.3*2.15</f>
        <v>0.645</v>
      </c>
      <c r="G300" s="34" t="s">
        <v>330</v>
      </c>
      <c r="H300" s="34" t="s">
        <v>222</v>
      </c>
      <c r="I300" s="34"/>
      <c r="J300" s="34"/>
      <c r="K300" s="34"/>
    </row>
    <row r="301" ht="29" customHeight="1" spans="1:11">
      <c r="A301" s="28">
        <v>27</v>
      </c>
      <c r="B301" s="34"/>
      <c r="C301" s="60" t="s">
        <v>215</v>
      </c>
      <c r="D301" s="60" t="s">
        <v>16</v>
      </c>
      <c r="E301" s="31" t="s">
        <v>167</v>
      </c>
      <c r="F301" s="61">
        <v>2</v>
      </c>
      <c r="G301" s="34" t="s">
        <v>210</v>
      </c>
      <c r="H301" s="34" t="s">
        <v>236</v>
      </c>
      <c r="I301" s="34"/>
      <c r="J301" s="34"/>
      <c r="K301" s="34"/>
    </row>
    <row r="302" ht="29" customHeight="1" spans="1:11">
      <c r="A302" s="28">
        <v>28</v>
      </c>
      <c r="B302" s="34"/>
      <c r="C302" s="60" t="s">
        <v>121</v>
      </c>
      <c r="D302" s="60" t="s">
        <v>16</v>
      </c>
      <c r="E302" s="31" t="s">
        <v>17</v>
      </c>
      <c r="F302" s="61">
        <f>1.25+1.57</f>
        <v>2.82</v>
      </c>
      <c r="G302" s="34" t="s">
        <v>217</v>
      </c>
      <c r="H302" s="34" t="s">
        <v>237</v>
      </c>
      <c r="I302" s="34"/>
      <c r="J302" s="34"/>
      <c r="K302" s="34"/>
    </row>
    <row r="303" ht="29" customHeight="1" spans="1:11">
      <c r="A303" s="28">
        <v>29</v>
      </c>
      <c r="B303" s="34"/>
      <c r="C303" s="60" t="s">
        <v>185</v>
      </c>
      <c r="D303" s="60" t="s">
        <v>186</v>
      </c>
      <c r="E303" s="31" t="s">
        <v>38</v>
      </c>
      <c r="F303" s="61">
        <f>7.6+8.8</f>
        <v>16.4</v>
      </c>
      <c r="G303" s="34" t="s">
        <v>210</v>
      </c>
      <c r="H303" s="34"/>
      <c r="I303" s="34"/>
      <c r="J303" s="34"/>
      <c r="K303" s="34"/>
    </row>
    <row r="304" ht="29" customHeight="1" spans="1:11">
      <c r="A304" s="28">
        <v>30</v>
      </c>
      <c r="B304" s="34"/>
      <c r="C304" s="60" t="s">
        <v>219</v>
      </c>
      <c r="D304" s="60" t="s">
        <v>220</v>
      </c>
      <c r="E304" s="31" t="s">
        <v>38</v>
      </c>
      <c r="F304" s="61">
        <f>1.14+0.9</f>
        <v>2.04</v>
      </c>
      <c r="G304" s="34" t="s">
        <v>217</v>
      </c>
      <c r="H304" s="34" t="s">
        <v>237</v>
      </c>
      <c r="I304" s="34"/>
      <c r="J304" s="34"/>
      <c r="K304" s="34" t="str">
        <f>_xlfn.DISPIMG("ID_6BAB14D970954C4A982D404A1A02D232",1)</f>
        <v>=DISPIMG("ID_6BAB14D970954C4A982D404A1A02D232",1)</v>
      </c>
    </row>
    <row r="305" ht="29" customHeight="1" spans="1:11">
      <c r="A305" s="28">
        <v>31</v>
      </c>
      <c r="B305" s="34" t="s">
        <v>389</v>
      </c>
      <c r="C305" s="62" t="s">
        <v>390</v>
      </c>
      <c r="D305" s="60" t="s">
        <v>16</v>
      </c>
      <c r="E305" s="31" t="s">
        <v>17</v>
      </c>
      <c r="F305" s="61">
        <f>(8.2*2.4-2.6*1.2-1.51*0.9-0.65*1.6-0.8*2-1.5*2)*2+(5*2.4-1.51*0.9)*2</f>
        <v>40.404</v>
      </c>
      <c r="G305" s="34" t="s">
        <v>391</v>
      </c>
      <c r="H305" s="34" t="s">
        <v>265</v>
      </c>
      <c r="I305" s="34"/>
      <c r="J305" s="34"/>
      <c r="K305" s="34"/>
    </row>
    <row r="306" ht="29" customHeight="1" spans="1:11">
      <c r="A306" s="28">
        <v>32</v>
      </c>
      <c r="B306" s="34"/>
      <c r="C306" s="62"/>
      <c r="D306" s="60" t="s">
        <v>21</v>
      </c>
      <c r="E306" s="31" t="s">
        <v>17</v>
      </c>
      <c r="F306" s="61">
        <f>1.51*0.9*4</f>
        <v>5.436</v>
      </c>
      <c r="G306" s="34" t="s">
        <v>391</v>
      </c>
      <c r="H306" s="34" t="s">
        <v>265</v>
      </c>
      <c r="I306" s="34"/>
      <c r="J306" s="34"/>
      <c r="K306" s="34" t="s">
        <v>202</v>
      </c>
    </row>
    <row r="307" ht="29" customHeight="1" spans="1:11">
      <c r="A307" s="28">
        <v>33</v>
      </c>
      <c r="B307" s="34"/>
      <c r="C307" s="62"/>
      <c r="D307" s="60" t="s">
        <v>16</v>
      </c>
      <c r="E307" s="31" t="s">
        <v>17</v>
      </c>
      <c r="F307" s="61">
        <f>1*2.77*9*2+0.45*2.37*2*9*2</f>
        <v>88.254</v>
      </c>
      <c r="G307" s="34" t="s">
        <v>392</v>
      </c>
      <c r="H307" s="34" t="s">
        <v>198</v>
      </c>
      <c r="I307" s="34"/>
      <c r="J307" s="34"/>
      <c r="K307" s="34"/>
    </row>
    <row r="308" ht="29" customHeight="1" spans="1:11">
      <c r="A308" s="28">
        <v>34</v>
      </c>
      <c r="B308" s="34"/>
      <c r="C308" s="62"/>
      <c r="D308" s="60" t="s">
        <v>257</v>
      </c>
      <c r="E308" s="31" t="s">
        <v>17</v>
      </c>
      <c r="F308" s="61">
        <f>0.31*2.77*9*2</f>
        <v>15.4566</v>
      </c>
      <c r="G308" s="34" t="s">
        <v>392</v>
      </c>
      <c r="H308" s="34" t="s">
        <v>198</v>
      </c>
      <c r="I308" s="34"/>
      <c r="J308" s="34"/>
      <c r="K308" s="34" t="s">
        <v>202</v>
      </c>
    </row>
    <row r="309" ht="29" customHeight="1" spans="1:11">
      <c r="A309" s="28">
        <v>35</v>
      </c>
      <c r="B309" s="34"/>
      <c r="C309" s="60" t="s">
        <v>393</v>
      </c>
      <c r="D309" s="60" t="s">
        <v>177</v>
      </c>
      <c r="E309" s="31" t="s">
        <v>17</v>
      </c>
      <c r="F309" s="61">
        <f>2.6*1.2*2</f>
        <v>6.24</v>
      </c>
      <c r="G309" s="34" t="s">
        <v>391</v>
      </c>
      <c r="H309" s="34" t="s">
        <v>265</v>
      </c>
      <c r="I309" s="34"/>
      <c r="J309" s="34"/>
      <c r="K309" s="34"/>
    </row>
    <row r="310" ht="29" customHeight="1" spans="1:11">
      <c r="A310" s="28">
        <v>36</v>
      </c>
      <c r="B310" s="34"/>
      <c r="C310" s="60" t="s">
        <v>394</v>
      </c>
      <c r="D310" s="60" t="s">
        <v>166</v>
      </c>
      <c r="E310" s="31" t="s">
        <v>167</v>
      </c>
      <c r="F310" s="61">
        <v>2</v>
      </c>
      <c r="G310" s="34" t="s">
        <v>391</v>
      </c>
      <c r="H310" s="34" t="s">
        <v>198</v>
      </c>
      <c r="I310" s="34"/>
      <c r="J310" s="34"/>
      <c r="K310" s="34"/>
    </row>
    <row r="311" ht="29" customHeight="1" spans="1:11">
      <c r="A311" s="28">
        <v>37</v>
      </c>
      <c r="B311" s="34"/>
      <c r="C311" s="60" t="s">
        <v>395</v>
      </c>
      <c r="D311" s="60" t="s">
        <v>16</v>
      </c>
      <c r="E311" s="31" t="s">
        <v>167</v>
      </c>
      <c r="F311" s="61">
        <v>2</v>
      </c>
      <c r="G311" s="34" t="s">
        <v>391</v>
      </c>
      <c r="H311" s="34" t="s">
        <v>198</v>
      </c>
      <c r="I311" s="34"/>
      <c r="J311" s="34"/>
      <c r="K311" s="34"/>
    </row>
    <row r="312" ht="29" customHeight="1" spans="1:11">
      <c r="A312" s="28">
        <v>38</v>
      </c>
      <c r="B312" s="34"/>
      <c r="C312" s="60" t="s">
        <v>396</v>
      </c>
      <c r="D312" s="60" t="s">
        <v>16</v>
      </c>
      <c r="E312" s="31" t="s">
        <v>17</v>
      </c>
      <c r="F312" s="61">
        <f>(10.7+5.2)*2.4-1*2.05*2-0.7*1.5-3.2*1.76+(4.84*2.4-0.9*2)*2</f>
        <v>47.01</v>
      </c>
      <c r="G312" s="34" t="s">
        <v>391</v>
      </c>
      <c r="H312" s="34" t="s">
        <v>283</v>
      </c>
      <c r="I312" s="34"/>
      <c r="J312" s="34"/>
      <c r="K312" s="34"/>
    </row>
    <row r="313" ht="29" customHeight="1" spans="1:11">
      <c r="A313" s="28">
        <v>39</v>
      </c>
      <c r="B313" s="34"/>
      <c r="C313" s="60" t="s">
        <v>397</v>
      </c>
      <c r="D313" s="60" t="s">
        <v>177</v>
      </c>
      <c r="E313" s="31" t="s">
        <v>17</v>
      </c>
      <c r="F313" s="61">
        <f>6.07*2.4-2.5*0.5</f>
        <v>13.318</v>
      </c>
      <c r="G313" s="34" t="s">
        <v>391</v>
      </c>
      <c r="H313" s="34" t="s">
        <v>398</v>
      </c>
      <c r="I313" s="34"/>
      <c r="J313" s="34"/>
      <c r="K313" s="34"/>
    </row>
    <row r="314" ht="29" customHeight="1" spans="1:11">
      <c r="A314" s="28">
        <v>40</v>
      </c>
      <c r="B314" s="34"/>
      <c r="C314" s="60" t="s">
        <v>399</v>
      </c>
      <c r="D314" s="60" t="s">
        <v>16</v>
      </c>
      <c r="E314" s="31" t="s">
        <v>167</v>
      </c>
      <c r="F314" s="61">
        <v>4</v>
      </c>
      <c r="G314" s="34" t="s">
        <v>391</v>
      </c>
      <c r="H314" s="34" t="s">
        <v>283</v>
      </c>
      <c r="I314" s="34"/>
      <c r="J314" s="34"/>
      <c r="K314" s="34"/>
    </row>
    <row r="315" ht="47" customHeight="1" spans="1:11">
      <c r="A315" s="28">
        <v>41</v>
      </c>
      <c r="B315" s="34"/>
      <c r="C315" s="60" t="s">
        <v>400</v>
      </c>
      <c r="D315" s="60" t="s">
        <v>401</v>
      </c>
      <c r="E315" s="31" t="s">
        <v>167</v>
      </c>
      <c r="F315" s="61">
        <v>1</v>
      </c>
      <c r="G315" s="34" t="s">
        <v>391</v>
      </c>
      <c r="H315" s="34" t="s">
        <v>283</v>
      </c>
      <c r="I315" s="34"/>
      <c r="J315" s="34"/>
      <c r="K315" s="34"/>
    </row>
    <row r="316" ht="29" customHeight="1" spans="1:11">
      <c r="A316" s="28">
        <v>42</v>
      </c>
      <c r="B316" s="34"/>
      <c r="C316" s="60" t="s">
        <v>402</v>
      </c>
      <c r="D316" s="60" t="s">
        <v>403</v>
      </c>
      <c r="E316" s="31" t="s">
        <v>17</v>
      </c>
      <c r="F316" s="61">
        <f>0.44*2.34*9*2</f>
        <v>18.5328</v>
      </c>
      <c r="G316" s="34" t="s">
        <v>391</v>
      </c>
      <c r="H316" s="34" t="s">
        <v>198</v>
      </c>
      <c r="I316" s="34"/>
      <c r="J316" s="34"/>
      <c r="K316" s="34"/>
    </row>
    <row r="317" ht="29" customHeight="1" spans="1:11">
      <c r="A317" s="28">
        <v>43</v>
      </c>
      <c r="B317" s="34"/>
      <c r="C317" s="62" t="s">
        <v>261</v>
      </c>
      <c r="D317" s="60" t="s">
        <v>21</v>
      </c>
      <c r="E317" s="31" t="s">
        <v>17</v>
      </c>
      <c r="F317" s="61">
        <f>0.2*2.77*9*2</f>
        <v>9.972</v>
      </c>
      <c r="G317" s="34" t="s">
        <v>392</v>
      </c>
      <c r="H317" s="34" t="s">
        <v>198</v>
      </c>
      <c r="I317" s="34"/>
      <c r="J317" s="34"/>
      <c r="K317" s="34" t="s">
        <v>202</v>
      </c>
    </row>
    <row r="318" ht="29" customHeight="1" spans="1:11">
      <c r="A318" s="28">
        <v>44</v>
      </c>
      <c r="B318" s="34"/>
      <c r="C318" s="60" t="s">
        <v>387</v>
      </c>
      <c r="D318" s="60" t="s">
        <v>186</v>
      </c>
      <c r="E318" s="31" t="s">
        <v>38</v>
      </c>
      <c r="F318" s="61">
        <v>109.4</v>
      </c>
      <c r="G318" s="34" t="s">
        <v>391</v>
      </c>
      <c r="H318" s="34"/>
      <c r="I318" s="34"/>
      <c r="J318" s="34"/>
      <c r="K318" s="34" t="s">
        <v>218</v>
      </c>
    </row>
    <row r="319" ht="89" customHeight="1" spans="1:11">
      <c r="A319" s="28">
        <v>45</v>
      </c>
      <c r="B319" s="34"/>
      <c r="C319" s="60" t="s">
        <v>404</v>
      </c>
      <c r="D319" s="60" t="s">
        <v>405</v>
      </c>
      <c r="E319" s="31" t="s">
        <v>38</v>
      </c>
      <c r="F319" s="34">
        <f>(2.2*2+2.57)*9*2</f>
        <v>125.46</v>
      </c>
      <c r="G319" s="34" t="s">
        <v>406</v>
      </c>
      <c r="H319" s="34" t="s">
        <v>367</v>
      </c>
      <c r="I319" s="34"/>
      <c r="J319" s="34"/>
      <c r="K319" s="34"/>
    </row>
    <row r="320" ht="29" customHeight="1" spans="1:11">
      <c r="A320" s="56" t="s">
        <v>140</v>
      </c>
      <c r="B320" s="56"/>
      <c r="C320" s="57"/>
      <c r="D320" s="57"/>
      <c r="E320" s="58"/>
      <c r="F320" s="59"/>
      <c r="G320" s="57"/>
      <c r="H320" s="57"/>
      <c r="I320" s="57"/>
      <c r="J320" s="57"/>
      <c r="K320" s="57"/>
    </row>
    <row r="321" ht="29" customHeight="1" spans="1:11">
      <c r="A321" s="28">
        <v>1</v>
      </c>
      <c r="B321" s="30" t="s">
        <v>187</v>
      </c>
      <c r="C321" s="60" t="s">
        <v>244</v>
      </c>
      <c r="D321" s="60" t="s">
        <v>124</v>
      </c>
      <c r="E321" s="31" t="s">
        <v>17</v>
      </c>
      <c r="F321" s="61">
        <f>8.5*2.28*2-0.65*1.6*2</f>
        <v>36.68</v>
      </c>
      <c r="G321" s="34" t="s">
        <v>245</v>
      </c>
      <c r="H321" s="34" t="s">
        <v>200</v>
      </c>
      <c r="I321" s="34"/>
      <c r="J321" s="34"/>
      <c r="K321" s="34" t="s">
        <v>126</v>
      </c>
    </row>
    <row r="322" ht="29" customHeight="1" spans="1:11">
      <c r="A322" s="28">
        <v>2</v>
      </c>
      <c r="B322" s="30"/>
      <c r="C322" s="62" t="s">
        <v>247</v>
      </c>
      <c r="D322" s="60" t="s">
        <v>16</v>
      </c>
      <c r="E322" s="31" t="s">
        <v>17</v>
      </c>
      <c r="F322" s="61">
        <f>(17.2+25.3+6.3)*2.28-0.8*2*5-1.5*2*2-0.65*1.6*2-2.75*2.05*2</f>
        <v>83.909</v>
      </c>
      <c r="G322" s="34" t="s">
        <v>192</v>
      </c>
      <c r="H322" s="34" t="s">
        <v>198</v>
      </c>
      <c r="I322" s="34"/>
      <c r="J322" s="34"/>
      <c r="K322" s="34"/>
    </row>
    <row r="323" ht="29" customHeight="1" spans="1:11">
      <c r="A323" s="28">
        <v>3</v>
      </c>
      <c r="B323" s="30"/>
      <c r="C323" s="62" t="s">
        <v>407</v>
      </c>
      <c r="D323" s="60" t="s">
        <v>16</v>
      </c>
      <c r="E323" s="31" t="s">
        <v>17</v>
      </c>
      <c r="F323" s="61">
        <f>2.75*2.05*2</f>
        <v>11.275</v>
      </c>
      <c r="G323" s="34" t="s">
        <v>192</v>
      </c>
      <c r="H323" s="34" t="s">
        <v>374</v>
      </c>
      <c r="I323" s="34"/>
      <c r="J323" s="34"/>
      <c r="K323" s="34"/>
    </row>
    <row r="324" ht="29" customHeight="1" spans="1:11">
      <c r="A324" s="28">
        <v>4</v>
      </c>
      <c r="B324" s="30"/>
      <c r="C324" s="60" t="s">
        <v>250</v>
      </c>
      <c r="D324" s="60" t="s">
        <v>16</v>
      </c>
      <c r="E324" s="31" t="s">
        <v>167</v>
      </c>
      <c r="F324" s="61">
        <v>7</v>
      </c>
      <c r="G324" s="34" t="s">
        <v>192</v>
      </c>
      <c r="H324" s="34" t="s">
        <v>198</v>
      </c>
      <c r="I324" s="34"/>
      <c r="J324" s="34"/>
      <c r="K324" s="34"/>
    </row>
    <row r="325" ht="29" customHeight="1" spans="1:11">
      <c r="A325" s="28">
        <v>5</v>
      </c>
      <c r="B325" s="30"/>
      <c r="C325" s="60" t="s">
        <v>252</v>
      </c>
      <c r="D325" s="60" t="s">
        <v>166</v>
      </c>
      <c r="E325" s="31" t="s">
        <v>167</v>
      </c>
      <c r="F325" s="61">
        <v>2</v>
      </c>
      <c r="G325" s="34" t="s">
        <v>192</v>
      </c>
      <c r="H325" s="34" t="s">
        <v>374</v>
      </c>
      <c r="I325" s="34"/>
      <c r="J325" s="34"/>
      <c r="K325" s="34" t="s">
        <v>175</v>
      </c>
    </row>
    <row r="326" ht="29" customHeight="1" spans="1:11">
      <c r="A326" s="28">
        <v>6</v>
      </c>
      <c r="B326" s="30"/>
      <c r="C326" s="60" t="s">
        <v>376</v>
      </c>
      <c r="D326" s="60" t="s">
        <v>174</v>
      </c>
      <c r="E326" s="31" t="s">
        <v>167</v>
      </c>
      <c r="F326" s="61">
        <v>2</v>
      </c>
      <c r="G326" s="34" t="s">
        <v>192</v>
      </c>
      <c r="H326" s="34" t="s">
        <v>377</v>
      </c>
      <c r="I326" s="34"/>
      <c r="J326" s="34"/>
      <c r="K326" s="34" t="s">
        <v>235</v>
      </c>
    </row>
    <row r="327" ht="29" customHeight="1" spans="1:11">
      <c r="A327" s="28">
        <v>7</v>
      </c>
      <c r="B327" s="30"/>
      <c r="C327" s="62" t="s">
        <v>199</v>
      </c>
      <c r="D327" s="60" t="s">
        <v>16</v>
      </c>
      <c r="E327" s="31" t="s">
        <v>17</v>
      </c>
      <c r="F327" s="63">
        <f>(5.54-1*2)*2.28+1.16*2.29</f>
        <v>10.7276</v>
      </c>
      <c r="G327" s="34" t="s">
        <v>192</v>
      </c>
      <c r="H327" s="34" t="s">
        <v>377</v>
      </c>
      <c r="I327" s="34"/>
      <c r="J327" s="34"/>
      <c r="K327" s="34"/>
    </row>
    <row r="328" ht="29" customHeight="1" spans="1:11">
      <c r="A328" s="28">
        <v>8</v>
      </c>
      <c r="B328" s="30"/>
      <c r="C328" s="62" t="s">
        <v>230</v>
      </c>
      <c r="D328" s="60" t="s">
        <v>16</v>
      </c>
      <c r="E328" s="31" t="s">
        <v>167</v>
      </c>
      <c r="F328" s="61">
        <v>2</v>
      </c>
      <c r="G328" s="34" t="s">
        <v>192</v>
      </c>
      <c r="H328" s="34" t="s">
        <v>377</v>
      </c>
      <c r="I328" s="34"/>
      <c r="J328" s="34"/>
      <c r="K328" s="34"/>
    </row>
    <row r="329" ht="29" customHeight="1" spans="1:11">
      <c r="A329" s="28">
        <v>9</v>
      </c>
      <c r="B329" s="30"/>
      <c r="C329" s="60" t="s">
        <v>203</v>
      </c>
      <c r="D329" s="60" t="s">
        <v>16</v>
      </c>
      <c r="E329" s="31" t="s">
        <v>17</v>
      </c>
      <c r="F329" s="61">
        <f>3.08*2.28-0.9*2*2</f>
        <v>3.4224</v>
      </c>
      <c r="G329" s="34" t="s">
        <v>204</v>
      </c>
      <c r="H329" s="34" t="s">
        <v>374</v>
      </c>
      <c r="I329" s="34"/>
      <c r="J329" s="34"/>
      <c r="K329" s="34"/>
    </row>
    <row r="330" ht="53" customHeight="1" spans="1:11">
      <c r="A330" s="28">
        <v>10</v>
      </c>
      <c r="B330" s="30"/>
      <c r="C330" s="60" t="s">
        <v>205</v>
      </c>
      <c r="D330" s="60" t="s">
        <v>206</v>
      </c>
      <c r="E330" s="31" t="s">
        <v>151</v>
      </c>
      <c r="F330" s="61">
        <v>2</v>
      </c>
      <c r="G330" s="34" t="s">
        <v>204</v>
      </c>
      <c r="H330" s="34" t="s">
        <v>374</v>
      </c>
      <c r="I330" s="34"/>
      <c r="J330" s="34"/>
      <c r="K330" s="34" t="s">
        <v>194</v>
      </c>
    </row>
    <row r="331" ht="29" customHeight="1" spans="1:11">
      <c r="A331" s="28">
        <v>11</v>
      </c>
      <c r="B331" s="30"/>
      <c r="C331" s="60" t="s">
        <v>102</v>
      </c>
      <c r="D331" s="60" t="s">
        <v>21</v>
      </c>
      <c r="E331" s="31" t="s">
        <v>17</v>
      </c>
      <c r="F331" s="61">
        <f>1.51*0.9*2</f>
        <v>2.718</v>
      </c>
      <c r="G331" s="34" t="s">
        <v>192</v>
      </c>
      <c r="H331" s="34" t="s">
        <v>377</v>
      </c>
      <c r="I331" s="34"/>
      <c r="J331" s="34"/>
      <c r="K331" s="34" t="s">
        <v>202</v>
      </c>
    </row>
    <row r="332" ht="29" customHeight="1" spans="1:11">
      <c r="A332" s="28">
        <v>12</v>
      </c>
      <c r="B332" s="30"/>
      <c r="C332" s="60" t="s">
        <v>185</v>
      </c>
      <c r="D332" s="60" t="s">
        <v>186</v>
      </c>
      <c r="E332" s="31" t="s">
        <v>38</v>
      </c>
      <c r="F332" s="61">
        <f>35+33.8</f>
        <v>68.8</v>
      </c>
      <c r="G332" s="34" t="s">
        <v>192</v>
      </c>
      <c r="H332" s="34"/>
      <c r="I332" s="34"/>
      <c r="J332" s="34"/>
      <c r="K332" s="34" t="s">
        <v>218</v>
      </c>
    </row>
    <row r="333" ht="29" customHeight="1" spans="1:11">
      <c r="A333" s="28">
        <v>13</v>
      </c>
      <c r="B333" s="34" t="s">
        <v>208</v>
      </c>
      <c r="C333" s="60" t="s">
        <v>209</v>
      </c>
      <c r="D333" s="60" t="s">
        <v>124</v>
      </c>
      <c r="E333" s="31" t="s">
        <v>17</v>
      </c>
      <c r="F333" s="61">
        <f>7.8*2.22-0.8*2+10.5*2.22-0.8*2-2.82</f>
        <v>34.606</v>
      </c>
      <c r="G333" s="34" t="s">
        <v>210</v>
      </c>
      <c r="H333" s="34" t="s">
        <v>211</v>
      </c>
      <c r="I333" s="34"/>
      <c r="J333" s="34"/>
      <c r="K333" s="34" t="s">
        <v>126</v>
      </c>
    </row>
    <row r="334" ht="29" customHeight="1" spans="1:11">
      <c r="A334" s="28">
        <v>14</v>
      </c>
      <c r="B334" s="34"/>
      <c r="C334" s="60" t="s">
        <v>215</v>
      </c>
      <c r="D334" s="60" t="s">
        <v>16</v>
      </c>
      <c r="E334" s="31" t="s">
        <v>167</v>
      </c>
      <c r="F334" s="61">
        <v>2</v>
      </c>
      <c r="G334" s="34" t="s">
        <v>210</v>
      </c>
      <c r="H334" s="34" t="s">
        <v>236</v>
      </c>
      <c r="I334" s="34"/>
      <c r="J334" s="34"/>
      <c r="K334" s="34"/>
    </row>
    <row r="335" ht="29" customHeight="1" spans="1:11">
      <c r="A335" s="28">
        <v>15</v>
      </c>
      <c r="B335" s="34"/>
      <c r="C335" s="60" t="s">
        <v>121</v>
      </c>
      <c r="D335" s="60" t="s">
        <v>16</v>
      </c>
      <c r="E335" s="31" t="s">
        <v>17</v>
      </c>
      <c r="F335" s="61">
        <f>1.25+1.57</f>
        <v>2.82</v>
      </c>
      <c r="G335" s="34" t="s">
        <v>217</v>
      </c>
      <c r="H335" s="34" t="s">
        <v>237</v>
      </c>
      <c r="I335" s="34"/>
      <c r="J335" s="34"/>
      <c r="K335" s="34"/>
    </row>
    <row r="336" ht="29" customHeight="1" spans="1:11">
      <c r="A336" s="28">
        <v>16</v>
      </c>
      <c r="B336" s="34"/>
      <c r="C336" s="60" t="s">
        <v>185</v>
      </c>
      <c r="D336" s="60" t="s">
        <v>186</v>
      </c>
      <c r="E336" s="31" t="s">
        <v>38</v>
      </c>
      <c r="F336" s="61">
        <f>7.8+10.5</f>
        <v>18.3</v>
      </c>
      <c r="G336" s="34" t="s">
        <v>210</v>
      </c>
      <c r="H336" s="34"/>
      <c r="I336" s="34"/>
      <c r="J336" s="34"/>
      <c r="K336" s="34" t="s">
        <v>218</v>
      </c>
    </row>
    <row r="337" ht="29" customHeight="1" spans="1:11">
      <c r="A337" s="28">
        <v>17</v>
      </c>
      <c r="B337" s="34"/>
      <c r="C337" s="60" t="s">
        <v>219</v>
      </c>
      <c r="D337" s="60" t="s">
        <v>220</v>
      </c>
      <c r="E337" s="31" t="s">
        <v>38</v>
      </c>
      <c r="F337" s="61">
        <f>1.22+0.9</f>
        <v>2.12</v>
      </c>
      <c r="G337" s="34" t="s">
        <v>217</v>
      </c>
      <c r="H337" s="34" t="s">
        <v>237</v>
      </c>
      <c r="I337" s="34"/>
      <c r="J337" s="34"/>
      <c r="K337" s="34" t="str">
        <f>_xlfn.DISPIMG("ID_6BAB14D970954C4A982D404A1A02D232",1)</f>
        <v>=DISPIMG("ID_6BAB14D970954C4A982D404A1A02D232",1)</v>
      </c>
    </row>
    <row r="338" ht="29" customHeight="1" spans="1:11">
      <c r="A338" s="67" t="s">
        <v>10</v>
      </c>
      <c r="B338" s="68"/>
      <c r="C338" s="68"/>
      <c r="D338" s="68"/>
      <c r="E338" s="68"/>
      <c r="F338" s="69"/>
      <c r="G338" s="34"/>
      <c r="H338" s="34"/>
      <c r="I338" s="34"/>
      <c r="J338" s="34">
        <f>SUM(J3:J337)</f>
        <v>0</v>
      </c>
      <c r="K338" s="72" t="s">
        <v>408</v>
      </c>
    </row>
    <row r="339" ht="117" customHeight="1" spans="1:11">
      <c r="A339" s="70" t="s">
        <v>409</v>
      </c>
      <c r="B339" s="71"/>
      <c r="C339" s="71"/>
      <c r="D339" s="71"/>
      <c r="E339" s="71"/>
      <c r="F339" s="71"/>
      <c r="G339" s="71"/>
      <c r="H339" s="71"/>
      <c r="I339" s="71"/>
      <c r="J339" s="71"/>
      <c r="K339" s="73"/>
    </row>
  </sheetData>
  <mergeCells count="82">
    <mergeCell ref="A1:K1"/>
    <mergeCell ref="A3:K3"/>
    <mergeCell ref="A4:C4"/>
    <mergeCell ref="A5:C5"/>
    <mergeCell ref="A62:C62"/>
    <mergeCell ref="A79:C79"/>
    <mergeCell ref="A86:C86"/>
    <mergeCell ref="A91:C91"/>
    <mergeCell ref="A97:K97"/>
    <mergeCell ref="A98:K98"/>
    <mergeCell ref="A122:K122"/>
    <mergeCell ref="A140:K140"/>
    <mergeCell ref="A142:K142"/>
    <mergeCell ref="A186:K186"/>
    <mergeCell ref="A227:K227"/>
    <mergeCell ref="A274:K274"/>
    <mergeCell ref="A320:K320"/>
    <mergeCell ref="A338:F338"/>
    <mergeCell ref="A339:K339"/>
    <mergeCell ref="B6:B15"/>
    <mergeCell ref="B17:B24"/>
    <mergeCell ref="B26:B32"/>
    <mergeCell ref="B34:B36"/>
    <mergeCell ref="B38:B40"/>
    <mergeCell ref="B42:B47"/>
    <mergeCell ref="B49:B52"/>
    <mergeCell ref="B54:B61"/>
    <mergeCell ref="B64:B68"/>
    <mergeCell ref="B70:B73"/>
    <mergeCell ref="B75:B78"/>
    <mergeCell ref="B82:B85"/>
    <mergeCell ref="B88:B90"/>
    <mergeCell ref="B99:B106"/>
    <mergeCell ref="B107:B115"/>
    <mergeCell ref="B116:B121"/>
    <mergeCell ref="B123:B133"/>
    <mergeCell ref="B134:B139"/>
    <mergeCell ref="B143:B160"/>
    <mergeCell ref="B161:B166"/>
    <mergeCell ref="B167:B173"/>
    <mergeCell ref="B174:B185"/>
    <mergeCell ref="B187:B201"/>
    <mergeCell ref="B202:B206"/>
    <mergeCell ref="B207:B226"/>
    <mergeCell ref="B228:B242"/>
    <mergeCell ref="B243:B250"/>
    <mergeCell ref="B251:B273"/>
    <mergeCell ref="B275:B290"/>
    <mergeCell ref="B291:B297"/>
    <mergeCell ref="B298:B304"/>
    <mergeCell ref="B305:B319"/>
    <mergeCell ref="B321:B332"/>
    <mergeCell ref="B333:B337"/>
    <mergeCell ref="C7:C10"/>
    <mergeCell ref="C18:C20"/>
    <mergeCell ref="C26:C29"/>
    <mergeCell ref="C42:C44"/>
    <mergeCell ref="C49:C50"/>
    <mergeCell ref="C54:C55"/>
    <mergeCell ref="C57:C58"/>
    <mergeCell ref="C64:C65"/>
    <mergeCell ref="C66:C67"/>
    <mergeCell ref="C83:C84"/>
    <mergeCell ref="C88:C90"/>
    <mergeCell ref="C148:C152"/>
    <mergeCell ref="C179:C180"/>
    <mergeCell ref="C188:C189"/>
    <mergeCell ref="C207:C208"/>
    <mergeCell ref="C213:C215"/>
    <mergeCell ref="C218:C219"/>
    <mergeCell ref="C229:C230"/>
    <mergeCell ref="C244:C245"/>
    <mergeCell ref="C251:C254"/>
    <mergeCell ref="C255:C260"/>
    <mergeCell ref="C266:C267"/>
    <mergeCell ref="C276:C277"/>
    <mergeCell ref="C293:C294"/>
    <mergeCell ref="C299:C300"/>
    <mergeCell ref="C305:C308"/>
    <mergeCell ref="D148:D150"/>
    <mergeCell ref="D213:D214"/>
    <mergeCell ref="H256:H258"/>
  </mergeCells>
  <pageMargins left="0.7" right="0.7" top="0.75" bottom="0.75" header="0.3" footer="0.3"/>
  <pageSetup paperSize="9" orientation="landscape"/>
  <headerFooter/>
  <ignoredErrors>
    <ignoredError sqref="F225" formula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戴杰</cp:lastModifiedBy>
  <dcterms:created xsi:type="dcterms:W3CDTF">2023-05-12T11:15:00Z</dcterms:created>
  <dcterms:modified xsi:type="dcterms:W3CDTF">2025-08-25T02:57:55Z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B4301A8121734928ACE2810FC11308A3_13</vt:lpwstr>
  </property>
  <property fmtid="{D5CDD505-2E9C-101B-9397-08002B2CF9AE}" pid="3" name="KSOProductBuildVer">
    <vt:lpwstr>2052-12.1.0.21915</vt:lpwstr>
  </property>
  <property fmtid="{D5CDD505-2E9C-101B-9397-08002B2CF9AE}" pid="4" name="KSOReadingLayout">
    <vt:bool>true</vt:bool>
  </property>
</Properties>
</file>