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691" firstSheet="1"/>
  </bookViews>
  <sheets>
    <sheet name="报价汇总" sheetId="6" r:id="rId1"/>
    <sheet name="主厨房" sheetId="2" r:id="rId2"/>
    <sheet name="二楼后备餐间" sheetId="3" r:id="rId3"/>
    <sheet name="二楼前备餐间" sheetId="4" r:id="rId4"/>
    <sheet name="三楼VIP备餐间" sheetId="5" r:id="rId5"/>
    <sheet name="不锈钢刀叉" sheetId="9" r:id="rId6"/>
    <sheet name="玻璃器皿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68D465FC72744979117D3F695CED9FE" descr="xl/media/image85.jpeg"/>
        <xdr:cNvPicPr>
          <a:picLocks noChangeAspect="1"/>
        </xdr:cNvPicPr>
      </xdr:nvPicPr>
      <xdr:blipFill>
        <a:blip r:embed="rId1" cstate="print"/>
        <a:srcRect t="-21951" b="-21951"/>
        <a:stretch>
          <a:fillRect/>
        </a:stretch>
      </xdr:blipFill>
      <xdr:spPr>
        <a:xfrm>
          <a:off x="9197340" y="1064260"/>
          <a:ext cx="1129665" cy="674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926E122734648898114AB6675EE1BD0" descr="xl/media/image86.png"/>
        <xdr:cNvPicPr>
          <a:picLocks noChangeAspect="1"/>
        </xdr:cNvPicPr>
      </xdr:nvPicPr>
      <xdr:blipFill>
        <a:blip r:embed="rId2"/>
        <a:srcRect t="-954" b="-954"/>
        <a:stretch>
          <a:fillRect/>
        </a:stretch>
      </xdr:blipFill>
      <xdr:spPr>
        <a:xfrm>
          <a:off x="9311640" y="1960880"/>
          <a:ext cx="915670" cy="523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6C9CA79456E4186ADFE566C9645C08A" descr="xl/media/image121.jpeg"/>
        <xdr:cNvPicPr>
          <a:picLocks noChangeAspect="1"/>
        </xdr:cNvPicPr>
      </xdr:nvPicPr>
      <xdr:blipFill>
        <a:blip r:embed="rId3"/>
        <a:srcRect t="-28125" b="-28125"/>
        <a:stretch>
          <a:fillRect/>
        </a:stretch>
      </xdr:blipFill>
      <xdr:spPr>
        <a:xfrm>
          <a:off x="9372600" y="2816860"/>
          <a:ext cx="890270" cy="763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CE41AEDB61540E6919B6EE1FEF58588" descr="xl/media/image122.png"/>
        <xdr:cNvPicPr>
          <a:picLocks noChangeAspect="1"/>
        </xdr:cNvPicPr>
      </xdr:nvPicPr>
      <xdr:blipFill>
        <a:blip r:embed="rId4" cstate="print"/>
        <a:srcRect t="-21950" b="-21950"/>
        <a:stretch>
          <a:fillRect/>
        </a:stretch>
      </xdr:blipFill>
      <xdr:spPr>
        <a:xfrm>
          <a:off x="9273540" y="3931920"/>
          <a:ext cx="940435" cy="592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2A6338059804A6F81E9B1124600AA60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227820" y="4803140"/>
          <a:ext cx="838835" cy="534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9429BEFAB6B469793C561065C01127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43060" y="5781040"/>
          <a:ext cx="861060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4F11E7743DC4465A50C6A6344ED4FDF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123680" y="6810375"/>
          <a:ext cx="1050925" cy="330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154D6A0A2B349DE8BE318957EAE0505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210040" y="7838440"/>
          <a:ext cx="1178560" cy="166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BF781CBB0E54027989BE4B3BCDE4BFC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288145" y="8615045"/>
          <a:ext cx="723265" cy="416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0197687E18C4332BA75735C1F79382C" descr="胜士达物盆 拷贝"/>
        <xdr:cNvPicPr>
          <a:picLocks noChangeAspect="1"/>
        </xdr:cNvPicPr>
      </xdr:nvPicPr>
      <xdr:blipFill>
        <a:blip r:embed="rId8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174480" y="9540240"/>
          <a:ext cx="980440" cy="551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4A853D6C3694A5FBD3757775EA336D4" descr="胜士达油盆 拷贝"/>
        <xdr:cNvPicPr>
          <a:picLocks noChangeAspect="1"/>
        </xdr:cNvPicPr>
      </xdr:nvPicPr>
      <xdr:blipFill>
        <a:blip r:embed="rId9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182735" y="10426065"/>
          <a:ext cx="981075" cy="635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90DE2121E89541E58A62C0078397879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57360" y="11442700"/>
          <a:ext cx="942340" cy="58102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5" name="ID_9057A8F1B45F435A9D7FCCCB61296BC1" descr="182401"/>
        <xdr:cNvPicPr>
          <a:picLocks noChangeAspect="1" noChangeArrowheads="1"/>
        </xdr:cNvPicPr>
      </xdr:nvPicPr>
      <xdr:blipFill>
        <a:blip r:embed="rId1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7665" y="12329795"/>
          <a:ext cx="789940" cy="54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16" name="ID_7062E841831F489B9CE9A8C942954EBD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9294495" y="14208760"/>
          <a:ext cx="760730" cy="675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601C061D7EB445A879AF7FA627F2A58" descr="C:\Documents and Settings\Administrator\Application Data\Tencent\Users\1500802517\QQ\WinTemp\RichOle\OH9)F780O8Z9CR2BGRXR[)D.jpg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258300" y="16095980"/>
          <a:ext cx="846455" cy="441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26AF1769E4DE47F2A3B4DBFAD372450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212580" y="16982440"/>
          <a:ext cx="871220" cy="62230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0" name="ID_6FE68819D2D74987964280D325B45F64" descr="54-5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220200" y="17995900"/>
          <a:ext cx="875665" cy="513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7C1391F94C1442EAB24B46FD4C045D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204960" y="18989040"/>
          <a:ext cx="842645" cy="48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0F768443797B4C19A7B0B715304BF8B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212580" y="20822920"/>
          <a:ext cx="734695" cy="51371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5" name="ID_6705732A72EE473BA30F13AB590BF85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334500" y="21724620"/>
          <a:ext cx="626745" cy="683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C7AEADA791214C9D9C18AB6F1C048DF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265920" y="24589740"/>
          <a:ext cx="815975" cy="50736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8" name="ID_B19EC29711A24F0BBF94ED2927214F39" descr="胜士达码斗 拷贝"/>
        <xdr:cNvPicPr>
          <a:picLocks noChangeAspect="1"/>
        </xdr:cNvPicPr>
      </xdr:nvPicPr>
      <xdr:blipFill>
        <a:blip r:embed="rId20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289415" y="25564465"/>
          <a:ext cx="788670" cy="503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84E4631E9094F5AB0790450F58BBBA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288780" y="26464260"/>
          <a:ext cx="724535" cy="45720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8" name="ID_375BAF88B12D4A2994697F36CB916DAA" descr="xl/media/image123.jpeg"/>
        <xdr:cNvPicPr>
          <a:picLocks noChangeAspect="1"/>
        </xdr:cNvPicPr>
      </xdr:nvPicPr>
      <xdr:blipFill>
        <a:blip r:embed="rId22"/>
        <a:srcRect t="-21951" b="-21951"/>
        <a:stretch>
          <a:fillRect/>
        </a:stretch>
      </xdr:blipFill>
      <xdr:spPr>
        <a:xfrm>
          <a:off x="9220200" y="27259280"/>
          <a:ext cx="1034415" cy="853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FEBFAFDD4615474AAE7CB0AC05FE9045"/>
        <xdr:cNvPicPr>
          <a:picLocks noChangeAspect="1"/>
        </xdr:cNvPicPr>
      </xdr:nvPicPr>
      <xdr:blipFill>
        <a:blip r:embed="rId2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157970" y="28209875"/>
          <a:ext cx="982980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35DCBF511AE3472593C44B94F053978C"/>
        <xdr:cNvPicPr/>
      </xdr:nvPicPr>
      <xdr:blipFill>
        <a:blip r:embed="rId24"/>
        <a:stretch>
          <a:fillRect/>
        </a:stretch>
      </xdr:blipFill>
      <xdr:spPr>
        <a:xfrm>
          <a:off x="9357360" y="30114240"/>
          <a:ext cx="863600" cy="635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BA8D062BF15D42419E0FDB71AB8085C2"/>
        <xdr:cNvPicPr/>
      </xdr:nvPicPr>
      <xdr:blipFill>
        <a:blip r:embed="rId25"/>
        <a:stretch>
          <a:fillRect/>
        </a:stretch>
      </xdr:blipFill>
      <xdr:spPr>
        <a:xfrm>
          <a:off x="9311640" y="31915100"/>
          <a:ext cx="970915" cy="617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E9FB5CAAF4047EAAC8980C58F77F83C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288780" y="32910780"/>
          <a:ext cx="1036955" cy="615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50FFF1E98DD2430B96480DCC377CD9AE"/>
        <xdr:cNvPicPr/>
      </xdr:nvPicPr>
      <xdr:blipFill>
        <a:blip r:embed="rId27"/>
        <a:stretch>
          <a:fillRect/>
        </a:stretch>
      </xdr:blipFill>
      <xdr:spPr>
        <a:xfrm>
          <a:off x="9273540" y="33906460"/>
          <a:ext cx="901700" cy="459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A0F4F21228914B6CA426AE437FA57C63"/>
        <xdr:cNvPicPr/>
      </xdr:nvPicPr>
      <xdr:blipFill>
        <a:blip r:embed="rId28"/>
        <a:stretch>
          <a:fillRect/>
        </a:stretch>
      </xdr:blipFill>
      <xdr:spPr>
        <a:xfrm>
          <a:off x="9357360" y="34795460"/>
          <a:ext cx="916940" cy="468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B01FCB5AAE024C7EBC1BD97E042A8A08"/>
        <xdr:cNvPicPr/>
      </xdr:nvPicPr>
      <xdr:blipFill>
        <a:blip r:embed="rId29"/>
        <a:stretch>
          <a:fillRect/>
        </a:stretch>
      </xdr:blipFill>
      <xdr:spPr>
        <a:xfrm>
          <a:off x="9349740" y="35836860"/>
          <a:ext cx="843915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D7A2F313C55D4512A00171EBFFC7DB8D" descr="6144_beige.jpg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517380" y="37584380"/>
          <a:ext cx="466090" cy="515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4CCFC45F0A6340CF9C76D1ECB06AF6A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82100" y="42207180"/>
          <a:ext cx="1194435" cy="572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E195E40D693A41ECB003D84F13E775EF" descr="D0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502140" y="43083480"/>
          <a:ext cx="581025" cy="504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01D1B6928DEF4FE28E8506F95B3352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243060" y="43929300"/>
          <a:ext cx="902970" cy="72326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51" name="ID_88AB773D171343E0B0D790DB1B971F8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364980" y="45905420"/>
          <a:ext cx="676910" cy="3892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10" name="ID_973D422AC4CB4563924011E3FBBA2B9A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433560" y="2306320"/>
          <a:ext cx="724535" cy="45720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46" name="ID_A18B310E0CE5406880214F59DBB0596C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469120" y="3395980"/>
          <a:ext cx="692785" cy="97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8051704CD8D144CF8B307EA884413F00" descr="1976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555480" y="4043680"/>
          <a:ext cx="761365" cy="60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DB811501141B44D99E150CBA555E4A27" descr="6144_beige.jpg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608820" y="4922520"/>
          <a:ext cx="466090" cy="515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4F5B9C27C554E49A6BB79D9365240E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09760" y="7713980"/>
          <a:ext cx="676910" cy="3892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56" name="ID_4042ED9402244781A537E598FAE3DB90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8830310" y="821690"/>
          <a:ext cx="729615" cy="722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57" name="ID_8400DDC1AF964306B7CCA6475859689C" descr="TN_B02746-747"/>
        <xdr:cNvPicPr>
          <a:picLocks noChangeAspect="1"/>
        </xdr:cNvPicPr>
      </xdr:nvPicPr>
      <xdr:blipFill>
        <a:blip r:embed="rId3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8650605" y="1951990"/>
          <a:ext cx="1095375" cy="311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51F1C27124044C0A918882B57C43A450"/>
        <xdr:cNvPicPr>
          <a:picLocks noChangeAspect="1"/>
        </xdr:cNvPicPr>
      </xdr:nvPicPr>
      <xdr:blipFill>
        <a:blip r:embed="rId7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8869045" y="2734945"/>
          <a:ext cx="723265" cy="416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68E3B829CB1645F58B4ABCBB6FB2D7D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846820" y="3657600"/>
          <a:ext cx="842645" cy="48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4E2BC35D558E479C8A0904DE8A130E4A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8860155" y="4500880"/>
          <a:ext cx="760730" cy="675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D2D0D013549540B9ABC5ECAA580D99B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717280" y="5433060"/>
          <a:ext cx="724535" cy="45720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62" name="ID_E4C99362697A4258897AFCFABFF52DBE"/>
        <xdr:cNvPicPr>
          <a:picLocks noChangeAspect="1"/>
        </xdr:cNvPicPr>
      </xdr:nvPicPr>
      <xdr:blipFill>
        <a:blip r:embed="rId2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8830310" y="6218555"/>
          <a:ext cx="982980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CA0E665D2F94977B7805FFB13BCB819" descr="1976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648700" y="9974580"/>
          <a:ext cx="761365" cy="60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18688CB717E242FABF01051740424F8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793480" y="10980420"/>
          <a:ext cx="676910" cy="3892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67" name="ID_A336B238693A41FDBAF5F5A05AF12C43" descr="xl/media/image20.png"/>
        <xdr:cNvPicPr>
          <a:picLocks noChangeAspect="1"/>
        </xdr:cNvPicPr>
      </xdr:nvPicPr>
      <xdr:blipFill>
        <a:blip r:embed="rId38"/>
        <a:srcRect t="-958" b="-958"/>
        <a:stretch>
          <a:fillRect/>
        </a:stretch>
      </xdr:blipFill>
      <xdr:spPr>
        <a:xfrm>
          <a:off x="8488680" y="1440180"/>
          <a:ext cx="1075055" cy="605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2690D8A0B262483B88723E1A9A7B3843" descr="xl/media/image48.jpeg"/>
        <xdr:cNvPicPr>
          <a:picLocks noChangeAspect="1"/>
        </xdr:cNvPicPr>
      </xdr:nvPicPr>
      <xdr:blipFill>
        <a:blip r:embed="rId39"/>
        <a:srcRect t="-32143" b="-32143"/>
        <a:stretch>
          <a:fillRect/>
        </a:stretch>
      </xdr:blipFill>
      <xdr:spPr>
        <a:xfrm>
          <a:off x="8557260" y="2395220"/>
          <a:ext cx="1045845" cy="690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A1D3EF53FDC846FEAFFC6FB0BCD9B282" descr="xl/media/image99.emf"/>
        <xdr:cNvPicPr>
          <a:picLocks noChangeAspect="1"/>
        </xdr:cNvPicPr>
      </xdr:nvPicPr>
      <xdr:blipFill>
        <a:blip r:embed="rId40"/>
        <a:srcRect t="-3654" b="-3654"/>
        <a:stretch>
          <a:fillRect/>
        </a:stretch>
      </xdr:blipFill>
      <xdr:spPr>
        <a:xfrm>
          <a:off x="8473440" y="3317240"/>
          <a:ext cx="1193800" cy="570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C4C21F432C4241098FADC46F0151A3F7" descr="xl/media/image123.jpeg"/>
        <xdr:cNvPicPr>
          <a:picLocks noChangeAspect="1"/>
        </xdr:cNvPicPr>
      </xdr:nvPicPr>
      <xdr:blipFill>
        <a:blip r:embed="rId22"/>
        <a:srcRect t="-21951" b="-21951"/>
        <a:stretch>
          <a:fillRect/>
        </a:stretch>
      </xdr:blipFill>
      <xdr:spPr>
        <a:xfrm>
          <a:off x="8442960" y="4124960"/>
          <a:ext cx="1034415" cy="853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3F551732E7D84586BE3854833B0460D9" descr="xl/media/image130.jpeg"/>
        <xdr:cNvPicPr>
          <a:picLocks noChangeAspect="1"/>
        </xdr:cNvPicPr>
      </xdr:nvPicPr>
      <xdr:blipFill>
        <a:blip r:embed="rId41"/>
        <a:srcRect t="-10345" b="-10345"/>
        <a:stretch>
          <a:fillRect/>
        </a:stretch>
      </xdr:blipFill>
      <xdr:spPr>
        <a:xfrm>
          <a:off x="8915400" y="5130800"/>
          <a:ext cx="408305" cy="60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F702442677B44F858B219EDDC377DD76" descr="xl/media/image142.jpeg"/>
        <xdr:cNvPicPr>
          <a:picLocks noChangeAspect="1"/>
        </xdr:cNvPicPr>
      </xdr:nvPicPr>
      <xdr:blipFill>
        <a:blip r:embed="rId42"/>
        <a:srcRect t="-26471" b="-26469"/>
        <a:stretch>
          <a:fillRect/>
        </a:stretch>
      </xdr:blipFill>
      <xdr:spPr>
        <a:xfrm>
          <a:off x="8610600" y="5984240"/>
          <a:ext cx="882650" cy="727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2A055BC537449148F9FB5D1DA6E0DFB"/>
        <xdr:cNvPicPr>
          <a:picLocks noChangeAspect="1"/>
        </xdr:cNvPicPr>
      </xdr:nvPicPr>
      <xdr:blipFill>
        <a:blip r:embed="rId43"/>
        <a:srcRect t="-9375" b="-9373"/>
        <a:stretch>
          <a:fillRect/>
        </a:stretch>
      </xdr:blipFill>
      <xdr:spPr>
        <a:xfrm>
          <a:off x="8595360" y="6921500"/>
          <a:ext cx="1129030" cy="56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18539673C8EF4D8F979CCE44FD26291E"/>
        <xdr:cNvPicPr>
          <a:picLocks noChangeAspect="1"/>
        </xdr:cNvPicPr>
      </xdr:nvPicPr>
      <xdr:blipFill>
        <a:blip r:embed="rId23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8555990" y="8720455"/>
          <a:ext cx="982980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5634FF2A808B4B33854E84CF16FEB79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892540" y="10513060"/>
          <a:ext cx="487680" cy="656590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8" name="ID_3F39BBE640A545DF927C88B5C191267C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57260" y="12448540"/>
          <a:ext cx="862330" cy="38163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79" name="ID_4ED7040D5BC445549781AB28D4763710" descr="xl/media/image122.png"/>
        <xdr:cNvPicPr>
          <a:picLocks noChangeAspect="1"/>
        </xdr:cNvPicPr>
      </xdr:nvPicPr>
      <xdr:blipFill>
        <a:blip r:embed="rId4" cstate="print"/>
        <a:srcRect t="-21950" b="-21950"/>
        <a:stretch>
          <a:fillRect/>
        </a:stretch>
      </xdr:blipFill>
      <xdr:spPr>
        <a:xfrm>
          <a:off x="8580120" y="13248640"/>
          <a:ext cx="940435" cy="592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6414EBDC06C94A34A42DA3F81901319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64880" y="16746220"/>
          <a:ext cx="872490" cy="767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F14919EBFEEA47168B3E000BF2E209DD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458200" y="17647920"/>
          <a:ext cx="892810" cy="755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58B574719AEB40EC982005231B1F758E" descr="21543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694420" y="21361400"/>
          <a:ext cx="423545" cy="648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6640DEC3C4C84FD4809092E2185F87AC" descr="1976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404860" y="22321520"/>
          <a:ext cx="761365" cy="60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E7F5D46C192145BCBC668DFE0AB4DD4F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549640" y="23327360"/>
          <a:ext cx="676910" cy="38925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90" name="ID_AD683A1243924D24A9BC664311566C1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235440" y="13421360"/>
          <a:ext cx="1174115" cy="416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6BCF4DBA4F604374914941B91A73D655"/>
        <xdr:cNvPicPr>
          <a:picLocks noChangeAspect="1"/>
        </xdr:cNvPicPr>
      </xdr:nvPicPr>
      <xdr:blipFill>
        <a:blip r:embed="rId50" r:link="rId51"/>
        <a:stretch>
          <a:fillRect/>
        </a:stretch>
      </xdr:blipFill>
      <xdr:spPr>
        <a:xfrm>
          <a:off x="6771640" y="1531620"/>
          <a:ext cx="629285" cy="10020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DB3414E91A004622B48CE6C22064C8A7" descr="C:\Users\ADMINI~1\AppData\Local\Temp\企业微信截图_16294218152467.png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6187440" y="1032510"/>
          <a:ext cx="1392555" cy="528955"/>
        </a:xfrm>
        <a:prstGeom prst="rect">
          <a:avLst/>
        </a:prstGeom>
        <a:noFill/>
      </xdr:spPr>
    </xdr:pic>
  </etc:cellImage>
  <etc:cellImage>
    <xdr:pic>
      <xdr:nvPicPr>
        <xdr:cNvPr id="26" name="ID_0B5651CA1EFF4683B475CC3D3E53D761" descr="C:\Users\ADMINI~1\AppData\Local\Temp\企业微信截图_1629421874665.png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6187440" y="1961515"/>
          <a:ext cx="1394460" cy="581025"/>
        </a:xfrm>
        <a:prstGeom prst="rect">
          <a:avLst/>
        </a:prstGeom>
        <a:noFill/>
      </xdr:spPr>
    </xdr:pic>
  </etc:cellImage>
  <etc:cellImage>
    <xdr:pic>
      <xdr:nvPicPr>
        <xdr:cNvPr id="30" name="ID_9CB7EC4E1CE14F9ABC5E1F76E68F7189" descr="C:\Users\ADMINI~1\AppData\Local\Temp\企业微信截图_16294219115765.png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6191250" y="2861945"/>
          <a:ext cx="1338580" cy="523875"/>
        </a:xfrm>
        <a:prstGeom prst="rect">
          <a:avLst/>
        </a:prstGeom>
        <a:noFill/>
      </xdr:spPr>
    </xdr:pic>
  </etc:cellImage>
  <etc:cellImage>
    <xdr:pic>
      <xdr:nvPicPr>
        <xdr:cNvPr id="42" name="ID_2BF94C85EC444F0EA35CB22A48058528" descr="C:\Users\ADMINI~1\AppData\Local\Temp\企业微信截图_16294219707729.png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6187440" y="3677285"/>
          <a:ext cx="1392555" cy="733425"/>
        </a:xfrm>
        <a:prstGeom prst="rect">
          <a:avLst/>
        </a:prstGeom>
        <a:noFill/>
      </xdr:spPr>
    </xdr:pic>
  </etc:cellImage>
  <etc:cellImage>
    <xdr:pic>
      <xdr:nvPicPr>
        <xdr:cNvPr id="45" name="ID_8195DB2D8B89448C988C69EA5A61CD5E" descr="C:\Users\ADMINI~1\AppData\Local\Temp\企业微信截图_16294221845631.png"/>
        <xdr:cNvPicPr>
          <a:picLocks noChangeAspect="1"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6216015" y="4683760"/>
          <a:ext cx="1367155" cy="609600"/>
        </a:xfrm>
        <a:prstGeom prst="rect">
          <a:avLst/>
        </a:prstGeom>
        <a:noFill/>
      </xdr:spPr>
    </xdr:pic>
  </etc:cellImage>
  <etc:cellImage>
    <xdr:pic>
      <xdr:nvPicPr>
        <xdr:cNvPr id="47" name="ID_16EF78779E7D4A7983FB6654CE536E32" descr="C:\Users\ADMINI~1\AppData\Local\Temp\企业微信截图_16294222278335.png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6235065" y="5660390"/>
          <a:ext cx="1346835" cy="581025"/>
        </a:xfrm>
        <a:prstGeom prst="rect">
          <a:avLst/>
        </a:prstGeom>
        <a:noFill/>
      </xdr:spPr>
    </xdr:pic>
  </etc:cellImage>
  <etc:cellImage>
    <xdr:pic>
      <xdr:nvPicPr>
        <xdr:cNvPr id="50" name="ID_02B14C0AA2B64805982E37AD4486ADBC"/>
        <xdr:cNvPicPr>
          <a:picLocks noChangeAspect="1" noChangeArrowheads="1"/>
        </xdr:cNvPicPr>
      </xdr:nvPicPr>
      <xdr:blipFill>
        <a:blip r:embed="rId58" cstate="print"/>
        <a:srcRect/>
        <a:stretch>
          <a:fillRect/>
        </a:stretch>
      </xdr:blipFill>
      <xdr:spPr>
        <a:xfrm>
          <a:off x="6210300" y="6724650"/>
          <a:ext cx="13652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54" name="ID_E6A8E8FA4A1949BAAFAD136C8C5A53E1" descr="C:\Users\ADMINI~1\AppData\Local\Temp\企业微信截图_16294402605724.png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6222365" y="7635240"/>
          <a:ext cx="1358265" cy="733425"/>
        </a:xfrm>
        <a:prstGeom prst="rect">
          <a:avLst/>
        </a:prstGeom>
        <a:noFill/>
      </xdr:spPr>
    </xdr:pic>
  </etc:cellImage>
  <etc:cellImage>
    <xdr:pic>
      <xdr:nvPicPr>
        <xdr:cNvPr id="63" name="ID_8BA2A5BCA8A44911BE597FE7BE214308"/>
        <xdr:cNvPicPr>
          <a:picLocks noChangeAspect="1"/>
        </xdr:cNvPicPr>
      </xdr:nvPicPr>
      <xdr:blipFill>
        <a:blip r:embed="rId60" r:link="rId51"/>
        <a:stretch>
          <a:fillRect/>
        </a:stretch>
      </xdr:blipFill>
      <xdr:spPr>
        <a:xfrm>
          <a:off x="6817360" y="2631440"/>
          <a:ext cx="584200" cy="9493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" name="ID_9C501E324D4E425FBF4C4DB20D3715D9" descr="QQ截图20150403213240.jpg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6827520" y="3804285"/>
          <a:ext cx="4953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75" name="ID_E12085B0BE344B49BF116C0DF64EB637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6595110" y="4867275"/>
          <a:ext cx="723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81" name="ID_CDEE8EEADBAE4E4D8731C563AC09681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6534150" y="6037580"/>
          <a:ext cx="866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85" name="ID_46936298CAB341B195B219CB45C0B540" descr="BO HR S_Dulcinea_flute_pieno.jpg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6741795" y="7013575"/>
          <a:ext cx="371475" cy="88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86" name="ID_6F4FE4397B964731872D466A486D4F7C" descr="C:\Users\ADMINI~1\AppData\Local\Temp\企业微信截图_16614106333417.png"/>
        <xdr:cNvPicPr>
          <a:picLocks noChangeAspect="1" noChangeArrowheads="1"/>
        </xdr:cNvPicPr>
      </xdr:nvPicPr>
      <xdr:blipFill>
        <a:blip r:embed="rId65"/>
        <a:srcRect/>
        <a:stretch>
          <a:fillRect/>
        </a:stretch>
      </xdr:blipFill>
      <xdr:spPr>
        <a:xfrm>
          <a:off x="6744335" y="8124825"/>
          <a:ext cx="760095" cy="1001395"/>
        </a:xfrm>
        <a:prstGeom prst="rect">
          <a:avLst/>
        </a:prstGeom>
        <a:noFill/>
      </xdr:spPr>
    </xdr:pic>
  </etc:cellImage>
  <etc:cellImage>
    <xdr:pic>
      <xdr:nvPicPr>
        <xdr:cNvPr id="91" name="ID_EBC28B11CE39460D8FB78E6E4CB98BDF" descr="C:\Users\ADMINI~1\AppData\Local\Temp\企业微信截图_16619168673580.png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6560820" y="9188450"/>
          <a:ext cx="909955" cy="1057275"/>
        </a:xfrm>
        <a:prstGeom prst="rect">
          <a:avLst/>
        </a:prstGeom>
        <a:noFill/>
      </xdr:spPr>
    </xdr:pic>
  </etc:cellImage>
  <etc:cellImage>
    <xdr:pic>
      <xdr:nvPicPr>
        <xdr:cNvPr id="92" name="ID_227BA20D9E814819A27112468AB165A2"/>
        <xdr:cNvPicPr>
          <a:picLocks noChangeAspect="1"/>
        </xdr:cNvPicPr>
      </xdr:nvPicPr>
      <xdr:blipFill>
        <a:blip r:embed="rId67" r:link="rId51"/>
        <a:stretch>
          <a:fillRect/>
        </a:stretch>
      </xdr:blipFill>
      <xdr:spPr>
        <a:xfrm>
          <a:off x="6642100" y="10236835"/>
          <a:ext cx="638175" cy="10414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3" name="ID_14DC7445B6734AA1B5027188C963EAB5" descr="C:\Users\ADMINI~1\AppData\Local\Temp\企业微信截图_16615046513861.png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6589395" y="11344275"/>
          <a:ext cx="847725" cy="1033145"/>
        </a:xfrm>
        <a:prstGeom prst="rect">
          <a:avLst/>
        </a:prstGeom>
        <a:noFill/>
      </xdr:spPr>
    </xdr:pic>
  </etc:cellImage>
  <etc:cellImage>
    <xdr:pic>
      <xdr:nvPicPr>
        <xdr:cNvPr id="94" name="ID_F62B415240E84ACF8798FA86E1F3A548" descr="C:\Users\ADMINI~1\AppData\Local\Temp\企业微信截图_16615051577881.png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6607810" y="12431395"/>
          <a:ext cx="819150" cy="1047115"/>
        </a:xfrm>
        <a:prstGeom prst="rect">
          <a:avLst/>
        </a:prstGeom>
        <a:noFill/>
      </xdr:spPr>
    </xdr:pic>
  </etc:cellImage>
  <etc:cellImage>
    <xdr:pic>
      <xdr:nvPicPr>
        <xdr:cNvPr id="95" name="ID_B3498389A370447F8625A14FABC763D7" descr="C:\Users\ADMINI~1\AppData\Local\Temp\企业微信截图_16615074541515.png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6598920" y="13519150"/>
          <a:ext cx="871855" cy="1104900"/>
        </a:xfrm>
        <a:prstGeom prst="rect">
          <a:avLst/>
        </a:prstGeom>
        <a:noFill/>
      </xdr:spPr>
    </xdr:pic>
  </etc:cellImage>
  <etc:cellImage>
    <xdr:pic>
      <xdr:nvPicPr>
        <xdr:cNvPr id="96" name="ID_0292B3DB10854DA1B90D853383DBAE95"/>
        <xdr:cNvPicPr>
          <a:picLocks noChangeAspect="1"/>
        </xdr:cNvPicPr>
      </xdr:nvPicPr>
      <xdr:blipFill>
        <a:blip r:embed="rId71" r:link="rId51"/>
        <a:stretch>
          <a:fillRect/>
        </a:stretch>
      </xdr:blipFill>
      <xdr:spPr>
        <a:xfrm>
          <a:off x="6512560" y="14620875"/>
          <a:ext cx="914400" cy="1104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97" name="ID_0D5ECDF51BCF45BABFF957FE095DED4E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6646545" y="15855315"/>
          <a:ext cx="69723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</etc:cellImage>
  <etc:cellImage>
    <xdr:pic>
      <xdr:nvPicPr>
        <xdr:cNvPr id="98" name="ID_1D75ABFFD5B143258AB633A8DD1B7607" descr="C:\Users\ADMINI~1\AppData\Local\Temp\企业微信截图_1661507546770.png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6527165" y="16795115"/>
          <a:ext cx="917575" cy="1038225"/>
        </a:xfrm>
        <a:prstGeom prst="rect">
          <a:avLst/>
        </a:prstGeom>
        <a:noFill/>
      </xdr:spPr>
    </xdr:pic>
  </etc:cellImage>
  <etc:cellImage>
    <xdr:pic>
      <xdr:nvPicPr>
        <xdr:cNvPr id="99" name="ID_5AD9F9EE7F394A2DA9EDD1D9F4B1CA10" descr="C:\Users\ADMINI~1\AppData\Local\Temp\企业微信截图_16614147935394.png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6740525" y="17871440"/>
          <a:ext cx="791210" cy="1017905"/>
        </a:xfrm>
        <a:prstGeom prst="rect">
          <a:avLst/>
        </a:prstGeom>
        <a:noFill/>
      </xdr:spPr>
    </xdr:pic>
  </etc:cellImage>
  <etc:cellImage>
    <xdr:pic>
      <xdr:nvPicPr>
        <xdr:cNvPr id="100" name="ID_635DBF5E9D9D4E3399C22149419B4DF5" descr="C:\Users\ADMINI~1\AppData\Local\Temp\企业微信截图_16614792395609.png"/>
        <xdr:cNvPicPr>
          <a:picLocks noChangeAspect="1" noChangeArrowheads="1"/>
        </xdr:cNvPicPr>
      </xdr:nvPicPr>
      <xdr:blipFill>
        <a:blip r:embed="rId75"/>
        <a:srcRect/>
        <a:stretch>
          <a:fillRect/>
        </a:stretch>
      </xdr:blipFill>
      <xdr:spPr>
        <a:xfrm>
          <a:off x="6549390" y="19052540"/>
          <a:ext cx="862965" cy="927100"/>
        </a:xfrm>
        <a:prstGeom prst="rect">
          <a:avLst/>
        </a:prstGeom>
        <a:noFill/>
      </xdr:spPr>
    </xdr:pic>
  </etc:cellImage>
  <etc:cellImage>
    <xdr:pic>
      <xdr:nvPicPr>
        <xdr:cNvPr id="101" name="ID_575E9DA5772B4F798D39372FD2038282" descr="C:\Users\ADMINI~1\AppData\Local\Temp\企业微信截图_1661415759806.png"/>
        <xdr:cNvPicPr>
          <a:picLocks noChangeAspect="1" noChangeArrowheads="1"/>
        </xdr:cNvPicPr>
      </xdr:nvPicPr>
      <xdr:blipFill>
        <a:blip r:embed="rId76"/>
        <a:srcRect/>
        <a:stretch>
          <a:fillRect/>
        </a:stretch>
      </xdr:blipFill>
      <xdr:spPr>
        <a:xfrm>
          <a:off x="6501765" y="20220940"/>
          <a:ext cx="931545" cy="790575"/>
        </a:xfrm>
        <a:prstGeom prst="rect">
          <a:avLst/>
        </a:prstGeom>
        <a:noFill/>
      </xdr:spPr>
    </xdr:pic>
  </etc:cellImage>
  <etc:cellImage>
    <xdr:pic>
      <xdr:nvPicPr>
        <xdr:cNvPr id="102" name="ID_BC73B969889B45C8B6CF3D38D6594E67" descr="C:\Users\ADMINI~1\AppData\Local\Temp\企业微信截图_166141586573.png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57010" y="21324570"/>
          <a:ext cx="847090" cy="851535"/>
        </a:xfrm>
        <a:prstGeom prst="rect">
          <a:avLst/>
        </a:prstGeom>
        <a:noFill/>
      </xdr:spPr>
    </xdr:pic>
  </etc:cellImage>
  <etc:cellImage>
    <xdr:pic>
      <xdr:nvPicPr>
        <xdr:cNvPr id="103" name="ID_4F3F9C33A8B246569F1F3CA865C78C71" descr="C:\Users\ADMINI~1\AppData\Local\Temp\企业微信截图_16614160099677.png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6587490" y="22420580"/>
          <a:ext cx="852170" cy="739775"/>
        </a:xfrm>
        <a:prstGeom prst="rect">
          <a:avLst/>
        </a:prstGeom>
        <a:noFill/>
      </xdr:spPr>
    </xdr:pic>
  </etc:cellImage>
  <etc:cellImage>
    <xdr:pic>
      <xdr:nvPicPr>
        <xdr:cNvPr id="104" name="ID_5C8626D4922549A19F7C99E1F22827E0" descr="C:\Users\ADMINI~1\AppData\Local\Temp\企业微信截图_16614154079448.png"/>
        <xdr:cNvPicPr>
          <a:picLocks noChangeAspect="1" noChangeArrowheads="1"/>
        </xdr:cNvPicPr>
      </xdr:nvPicPr>
      <xdr:blipFill>
        <a:blip r:embed="rId79" cstate="print"/>
        <a:srcRect/>
        <a:stretch>
          <a:fillRect/>
        </a:stretch>
      </xdr:blipFill>
      <xdr:spPr>
        <a:xfrm>
          <a:off x="7903210" y="20236180"/>
          <a:ext cx="1000760" cy="1057275"/>
        </a:xfrm>
        <a:prstGeom prst="rect">
          <a:avLst/>
        </a:prstGeom>
        <a:noFill/>
      </xdr:spPr>
    </xdr:pic>
  </etc:cellImage>
</etc:cellImages>
</file>

<file path=xl/sharedStrings.xml><?xml version="1.0" encoding="utf-8"?>
<sst xmlns="http://schemas.openxmlformats.org/spreadsheetml/2006/main" count="567" uniqueCount="306">
  <si>
    <t>世纪江山如诗厨房杂件及刀叉/器皿合同清单汇总</t>
  </si>
  <si>
    <t>序号</t>
  </si>
  <si>
    <t>区域/项目名称</t>
  </si>
  <si>
    <t>价格小计</t>
  </si>
  <si>
    <t>含税税率</t>
  </si>
  <si>
    <t>备注</t>
  </si>
  <si>
    <t>主厨房</t>
  </si>
  <si>
    <t>二楼后备餐间</t>
  </si>
  <si>
    <t>二楼前备餐间</t>
  </si>
  <si>
    <t>三楼VIP备餐间</t>
  </si>
  <si>
    <t>不锈钢刀叉</t>
  </si>
  <si>
    <t>玻璃器皿</t>
  </si>
  <si>
    <t>合计</t>
  </si>
  <si>
    <t>备注：1、各投标商家若不能全部报价，可只对自身的优势产品进行选择性报价，我司根据各方报价情况择优选择供应商；
2、税率可根据各报价供应商自身情况据实调整，我司以不含税价为比较基础；
3、交货地点为重庆市涪陵区中江船厂“世纪江山如诗”轮，请各报价单位自行勘查运输/搬运等现场情况。</t>
  </si>
  <si>
    <t>世纪江山如诗主厨房杂件报价清单</t>
  </si>
  <si>
    <t>货物名称</t>
  </si>
  <si>
    <t>技术参数要求</t>
  </si>
  <si>
    <t>单位</t>
  </si>
  <si>
    <t>数量</t>
  </si>
  <si>
    <t>含税单价</t>
  </si>
  <si>
    <t>含税小计</t>
  </si>
  <si>
    <t>品牌</t>
  </si>
  <si>
    <t>参考图片</t>
  </si>
  <si>
    <t>出口庄竹锅刷 中柄</t>
  </si>
  <si>
    <t>规格：L260mm，材质：竹木</t>
  </si>
  <si>
    <t>把</t>
  </si>
  <si>
    <t>国产高品质</t>
  </si>
  <si>
    <t>(可拆式)高级厨房剪刀</t>
  </si>
  <si>
    <t>规格：PS-2202-195TD，材质：304不锈钢</t>
  </si>
  <si>
    <t>长方形绿色胶砧板</t>
  </si>
  <si>
    <t>规格：580*380*20mm，材质：高品质塑料</t>
  </si>
  <si>
    <t>块</t>
  </si>
  <si>
    <t>同力</t>
  </si>
  <si>
    <t>长方形白色胶砧板</t>
  </si>
  <si>
    <t>长方形红色胶砧板</t>
  </si>
  <si>
    <t>长方形胶筐Plastic Rectangle Basket</t>
  </si>
  <si>
    <t>490*370*180cm</t>
  </si>
  <si>
    <t>个</t>
  </si>
  <si>
    <t>惠而信</t>
  </si>
  <si>
    <t>不锈钢份数盆</t>
  </si>
  <si>
    <t>1/1，530*327*H200mm</t>
  </si>
  <si>
    <t>东方EAST</t>
  </si>
  <si>
    <t>不锈钢烤盘</t>
  </si>
  <si>
    <t>1/1，530*327*H20mm</t>
  </si>
  <si>
    <t>1/2,327*265*H200mm</t>
  </si>
  <si>
    <t>不锈钢盆</t>
  </si>
  <si>
    <t>规格：D.400mm，无磁 0.8厚
材质：304不锈钢</t>
  </si>
  <si>
    <t>不锈钢油罐</t>
  </si>
  <si>
    <t>规格：D.30cm，无磁 1.0厚
材质：304不锈钢</t>
  </si>
  <si>
    <t>味盅</t>
  </si>
  <si>
    <t>规格：D.16cm，无磁 0.8厚
材质：304不锈钢</t>
  </si>
  <si>
    <t>不锈钢疏壳</t>
  </si>
  <si>
    <t>规格：D.270mm
材质：304不锈钢</t>
  </si>
  <si>
    <t>毛巾架</t>
  </si>
  <si>
    <t>6个挂钩  弯度合适现场</t>
  </si>
  <si>
    <t>切刀</t>
  </si>
  <si>
    <t>彩色柄</t>
  </si>
  <si>
    <t>十八子（白色、红色、绿色、褐色）</t>
  </si>
  <si>
    <r>
      <rPr>
        <sz val="9"/>
        <rFont val="宋体"/>
        <charset val="134"/>
      </rPr>
      <t>聚酯有盖食物盒</t>
    </r>
    <r>
      <rPr>
        <sz val="9"/>
        <rFont val="Arial"/>
        <charset val="0"/>
      </rPr>
      <t>Polypropylene Food Container w/Cover</t>
    </r>
  </si>
  <si>
    <t>345*230*160mm</t>
  </si>
  <si>
    <t>电子称</t>
  </si>
  <si>
    <t>A1
150kg</t>
  </si>
  <si>
    <t>台</t>
  </si>
  <si>
    <t>友声</t>
  </si>
  <si>
    <t>不锈钢炒壳</t>
  </si>
  <si>
    <r>
      <rPr>
        <sz val="9"/>
        <rFont val="Arial"/>
        <charset val="0"/>
      </rPr>
      <t>1</t>
    </r>
    <r>
      <rPr>
        <sz val="9"/>
        <rFont val="宋体"/>
        <charset val="134"/>
      </rPr>
      <t>号</t>
    </r>
  </si>
  <si>
    <t>石羊</t>
  </si>
  <si>
    <t>不锈钢翅漏密茜</t>
  </si>
  <si>
    <t>D.9"</t>
  </si>
  <si>
    <t>EAST</t>
  </si>
  <si>
    <t>不锈钢汤桶</t>
  </si>
  <si>
    <r>
      <rPr>
        <sz val="9"/>
        <rFont val="Arial"/>
        <charset val="0"/>
      </rPr>
      <t xml:space="preserve">D.50*50cm
</t>
    </r>
    <r>
      <rPr>
        <sz val="9"/>
        <rFont val="宋体"/>
        <charset val="0"/>
      </rPr>
      <t>电磁炉通用</t>
    </r>
  </si>
  <si>
    <r>
      <rPr>
        <sz val="9"/>
        <rFont val="宋体"/>
        <charset val="134"/>
      </rPr>
      <t>磨刀石</t>
    </r>
    <r>
      <rPr>
        <sz val="9"/>
        <rFont val="Arial"/>
        <charset val="0"/>
      </rPr>
      <t>Sharping Stone</t>
    </r>
  </si>
  <si>
    <t>207*66*34mm</t>
  </si>
  <si>
    <t>红人</t>
  </si>
  <si>
    <r>
      <rPr>
        <sz val="9"/>
        <rFont val="宋体"/>
        <charset val="134"/>
      </rPr>
      <t>加厚胶围裙</t>
    </r>
    <r>
      <rPr>
        <sz val="9"/>
        <rFont val="Arial"/>
        <charset val="0"/>
      </rPr>
      <t>APRON</t>
    </r>
  </si>
  <si>
    <t>雨鞋</t>
  </si>
  <si>
    <t>807高筒
回力</t>
  </si>
  <si>
    <t>双</t>
  </si>
  <si>
    <t>回力</t>
  </si>
  <si>
    <t>石英钟</t>
  </si>
  <si>
    <t>D.305mm</t>
  </si>
  <si>
    <t>得力</t>
  </si>
  <si>
    <t>三层推车</t>
  </si>
  <si>
    <t>910*600*920mm</t>
  </si>
  <si>
    <t>不锈钢码兜</t>
  </si>
  <si>
    <t>规格：D.22cm，无磁 0.8厚
材质：304不锈钢</t>
  </si>
  <si>
    <t>分菜勺</t>
  </si>
  <si>
    <t>3两 全钢柄</t>
  </si>
  <si>
    <t>力狮</t>
  </si>
  <si>
    <t>线制砧板架</t>
  </si>
  <si>
    <t>规格：300*270*270，材质：304不锈钢</t>
  </si>
  <si>
    <t>只</t>
  </si>
  <si>
    <t>调料勺</t>
  </si>
  <si>
    <t>规格：常规，
材质：国产</t>
  </si>
  <si>
    <t>开口洗茜</t>
  </si>
  <si>
    <t>500×500×100</t>
  </si>
  <si>
    <t>国产高品质
JIWINS</t>
  </si>
  <si>
    <t>周转箩（不带铁环）可以重叠</t>
  </si>
  <si>
    <t>685×480×370</t>
  </si>
  <si>
    <t>304 特制手工密篱(12英寸)</t>
  </si>
  <si>
    <t>12"</t>
  </si>
  <si>
    <t>铁柄砂光不粘复底煎盘</t>
  </si>
  <si>
    <t>14" Φ35 3.0MM</t>
  </si>
  <si>
    <t>铁柄砂光深不粘复底煎盘</t>
  </si>
  <si>
    <t>Φ28 4.0MM</t>
  </si>
  <si>
    <t>精制港庄水壳</t>
  </si>
  <si>
    <t>4斤,Ф180</t>
  </si>
  <si>
    <t>垃圾桶</t>
  </si>
  <si>
    <t>Trust特耐适 87L 脚踏式垃圾桶
1255   米黄色
50.2cmx44.7cmx82.6cm</t>
  </si>
  <si>
    <t>物供提供资料选择</t>
  </si>
  <si>
    <t>托帕</t>
  </si>
  <si>
    <t>超宝  标准蜡拖</t>
  </si>
  <si>
    <t>撮箕扫把</t>
  </si>
  <si>
    <t>超宝 C-019C+C-022</t>
  </si>
  <si>
    <t>套</t>
  </si>
  <si>
    <t>推水地刮</t>
  </si>
  <si>
    <t>超宝C-023
45CM橡胶款</t>
  </si>
  <si>
    <t>冰箱温度计</t>
  </si>
  <si>
    <t>明高T143
-30至30℃</t>
  </si>
  <si>
    <t>酒店专用
明高</t>
  </si>
  <si>
    <t>塑料平板</t>
  </si>
  <si>
    <t>100*120cm</t>
  </si>
  <si>
    <r>
      <rPr>
        <sz val="10.5"/>
        <color rgb="FF000000"/>
        <rFont val="宋体"/>
        <charset val="0"/>
      </rPr>
      <t>百洁布</t>
    </r>
    <r>
      <rPr>
        <sz val="10.5"/>
        <rFont val="宋体"/>
        <charset val="0"/>
      </rPr>
      <t>（</t>
    </r>
    <r>
      <rPr>
        <sz val="10.5"/>
        <rFont val="Times New Roman"/>
        <charset val="0"/>
      </rPr>
      <t>3M</t>
    </r>
    <r>
      <rPr>
        <sz val="10.5"/>
        <rFont val="宋体"/>
        <charset val="0"/>
      </rPr>
      <t>）</t>
    </r>
  </si>
  <si>
    <t>L152*W101MM</t>
  </si>
  <si>
    <t>3M</t>
  </si>
  <si>
    <t>医药箱</t>
  </si>
  <si>
    <r>
      <rPr>
        <sz val="10.5"/>
        <color rgb="FF000000"/>
        <rFont val="Times New Roman"/>
        <charset val="0"/>
      </rPr>
      <t>14</t>
    </r>
    <r>
      <rPr>
        <sz val="10.5"/>
        <color rgb="FF000000"/>
        <rFont val="宋体"/>
        <charset val="0"/>
      </rPr>
      <t>寸</t>
    </r>
    <r>
      <rPr>
        <sz val="10.5"/>
        <color rgb="FF000000"/>
        <rFont val="Times New Roman"/>
        <charset val="0"/>
      </rPr>
      <t xml:space="preserve"> </t>
    </r>
    <r>
      <rPr>
        <sz val="10.5"/>
        <color rgb="FF000000"/>
        <rFont val="宋体"/>
        <charset val="0"/>
      </rPr>
      <t>带锁</t>
    </r>
  </si>
  <si>
    <r>
      <rPr>
        <sz val="10.5"/>
        <color rgb="FF000000"/>
        <rFont val="宋体"/>
        <charset val="0"/>
      </rPr>
      <t>橡胶手套（中</t>
    </r>
    <r>
      <rPr>
        <sz val="10.5"/>
        <color rgb="FF000000"/>
        <rFont val="Times New Roman"/>
        <charset val="0"/>
      </rPr>
      <t xml:space="preserve"> </t>
    </r>
    <r>
      <rPr>
        <sz val="10.5"/>
        <color rgb="FF000000"/>
        <rFont val="宋体"/>
        <charset val="0"/>
      </rPr>
      <t>大）</t>
    </r>
  </si>
  <si>
    <t>L530MM</t>
  </si>
  <si>
    <t>褐色抹布（纯棉）</t>
  </si>
  <si>
    <t>L500*W300MM</t>
  </si>
  <si>
    <t>张</t>
  </si>
  <si>
    <t>小计</t>
  </si>
  <si>
    <t>世纪江山如诗二楼后备餐间杂件报价清单</t>
  </si>
  <si>
    <t>食品留样柜</t>
  </si>
  <si>
    <t>由物供部
提供</t>
  </si>
  <si>
    <r>
      <rPr>
        <sz val="9"/>
        <rFont val="宋体"/>
        <charset val="134"/>
      </rPr>
      <t>单插</t>
    </r>
    <r>
      <rPr>
        <sz val="9"/>
        <rFont val="Arial"/>
        <charset val="134"/>
      </rPr>
      <t>St/st Order Holder</t>
    </r>
  </si>
  <si>
    <t>D.80*150mm</t>
  </si>
  <si>
    <t>小计：</t>
  </si>
  <si>
    <t>世纪江山如诗二楼前备餐间杂件报价清单</t>
  </si>
  <si>
    <t>短木柄平底粉灼</t>
  </si>
  <si>
    <t>规格：D.130mm
材质：304不锈钢+木质</t>
  </si>
  <si>
    <t>竹筷子挑面筷</t>
  </si>
  <si>
    <t>规格：1*10PCS，
材质：竹木</t>
  </si>
  <si>
    <r>
      <rPr>
        <sz val="9"/>
        <rFont val="宋体"/>
        <charset val="134"/>
      </rPr>
      <t>单插</t>
    </r>
    <r>
      <rPr>
        <sz val="9"/>
        <rFont val="Arial"/>
        <charset val="0"/>
      </rPr>
      <t>St/st Order Holder</t>
    </r>
  </si>
  <si>
    <t>世纪江山如诗三楼VIP备餐间杂件报价清单</t>
  </si>
  <si>
    <t>木柄不锈钢无孔煎铲</t>
  </si>
  <si>
    <t>材质：304不锈钢</t>
  </si>
  <si>
    <t>直拉式全钢刮皮刀 平口</t>
  </si>
  <si>
    <t>规格：刃55mm，材质：304不锈钢</t>
  </si>
  <si>
    <t>锻打尖厨刀</t>
  </si>
  <si>
    <t>规格：12" 300mm，材质：304不锈钢 红 绿 白 褐</t>
  </si>
  <si>
    <t>支</t>
  </si>
  <si>
    <t>不锈钢9CM粉筒</t>
  </si>
  <si>
    <t>规格：网纱(304)，材质：304不锈钢</t>
  </si>
  <si>
    <t>16"塑料挤花袋</t>
  </si>
  <si>
    <t>规格：长度405，材质：高品质塑胶</t>
  </si>
  <si>
    <t>包</t>
  </si>
  <si>
    <t>三能</t>
  </si>
  <si>
    <t>面包锯齿刀</t>
  </si>
  <si>
    <t>规格：，材质：304不锈钢</t>
  </si>
  <si>
    <r>
      <rPr>
        <sz val="9"/>
        <rFont val="宋体"/>
        <charset val="134"/>
      </rPr>
      <t>微波炉</t>
    </r>
    <r>
      <rPr>
        <sz val="9"/>
        <rFont val="Arial"/>
        <charset val="134"/>
      </rPr>
      <t>NATIONAL Commercial Micro-Oven</t>
    </r>
  </si>
  <si>
    <r>
      <rPr>
        <sz val="9"/>
        <color rgb="FF000000"/>
        <rFont val="Arial"/>
        <charset val="0"/>
      </rPr>
      <t>NE1756</t>
    </r>
    <r>
      <rPr>
        <sz val="9"/>
        <color rgb="FF000000"/>
        <rFont val="宋体"/>
        <charset val="0"/>
      </rPr>
      <t>已经停产</t>
    </r>
    <r>
      <rPr>
        <sz val="9"/>
        <color rgb="FF000000"/>
        <rFont val="Arial"/>
        <charset val="0"/>
      </rPr>
      <t xml:space="preserve">
1700W.220V
</t>
    </r>
    <r>
      <rPr>
        <sz val="9"/>
        <color rgb="FF000000"/>
        <rFont val="宋体"/>
        <charset val="0"/>
      </rPr>
      <t>报价为最新型号：</t>
    </r>
    <r>
      <rPr>
        <sz val="9"/>
        <color rgb="FF000000"/>
        <rFont val="Arial"/>
        <charset val="0"/>
      </rPr>
      <t xml:space="preserve">
NE-186AC
220V  1850W
422*508*337mm</t>
    </r>
  </si>
  <si>
    <t>松下</t>
  </si>
  <si>
    <t>尖嘴白胶瓶</t>
  </si>
  <si>
    <t>JW-BSD12
12OZ</t>
  </si>
  <si>
    <t>惠尔信</t>
  </si>
  <si>
    <t>不锈钢夹具</t>
  </si>
  <si>
    <t>东方</t>
  </si>
  <si>
    <r>
      <rPr>
        <sz val="9"/>
        <rFont val="宋体"/>
        <charset val="134"/>
      </rPr>
      <t>食物搅拌器</t>
    </r>
    <r>
      <rPr>
        <sz val="9"/>
        <rFont val="Arial"/>
        <charset val="134"/>
      </rPr>
      <t>SANTOS Heavy Duty Blender(st/st bowl)</t>
    </r>
  </si>
  <si>
    <r>
      <rPr>
        <sz val="9"/>
        <rFont val="Arial"/>
        <charset val="0"/>
      </rPr>
      <t xml:space="preserve">
HBB255-CN
- </t>
    </r>
    <r>
      <rPr>
        <sz val="9"/>
        <rFont val="宋体"/>
        <charset val="0"/>
      </rPr>
      <t>电源</t>
    </r>
    <r>
      <rPr>
        <sz val="9"/>
        <rFont val="Arial"/>
        <charset val="0"/>
      </rPr>
      <t xml:space="preserve">: 220-240V, 50-60Hz, 3.2A
- 1.6 </t>
    </r>
    <r>
      <rPr>
        <sz val="9"/>
        <rFont val="宋体"/>
        <charset val="0"/>
      </rPr>
      <t>匹峰值马力</t>
    </r>
    <r>
      <rPr>
        <sz val="9"/>
        <rFont val="Arial"/>
        <charset val="0"/>
      </rPr>
      <t xml:space="preserve">* </t>
    </r>
    <r>
      <rPr>
        <sz val="9"/>
        <rFont val="宋体"/>
        <charset val="0"/>
      </rPr>
      <t>马达</t>
    </r>
    <r>
      <rPr>
        <sz val="9"/>
        <rFont val="Arial"/>
        <charset val="0"/>
      </rPr>
      <t xml:space="preserve">
- 1.4 L (48 oz)</t>
    </r>
    <r>
      <rPr>
        <sz val="9"/>
        <rFont val="宋体"/>
        <charset val="0"/>
      </rPr>
      <t>不含</t>
    </r>
    <r>
      <rPr>
        <sz val="9"/>
        <rFont val="Arial"/>
        <charset val="0"/>
      </rPr>
      <t>BPA</t>
    </r>
    <r>
      <rPr>
        <sz val="9"/>
        <rFont val="宋体"/>
        <charset val="0"/>
      </rPr>
      <t>的共聚酯</t>
    </r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搅拌杯</t>
    </r>
  </si>
  <si>
    <t>HAMILTON</t>
  </si>
  <si>
    <t>花形挤花嘴组</t>
  </si>
  <si>
    <t>酒店专用，树脂材质</t>
  </si>
  <si>
    <t>小型打蛋机</t>
  </si>
  <si>
    <t>5KPM5</t>
  </si>
  <si>
    <t>进口
美国厨宝</t>
  </si>
  <si>
    <t>四边刨器</t>
  </si>
  <si>
    <t>世纪如诗 不锈钢系列清单</t>
  </si>
  <si>
    <t>NO</t>
  </si>
  <si>
    <t>Description</t>
  </si>
  <si>
    <t>Brand</t>
  </si>
  <si>
    <t>Code</t>
  </si>
  <si>
    <t>Specification</t>
  </si>
  <si>
    <t xml:space="preserve">UNIT </t>
  </si>
  <si>
    <t>QTY</t>
  </si>
  <si>
    <t>Unit Price</t>
  </si>
  <si>
    <t>TOTAL</t>
  </si>
  <si>
    <t>PICTURE</t>
  </si>
  <si>
    <t>REMARKS</t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</si>
  <si>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</si>
  <si>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项目</t>
    </r>
  </si>
  <si>
    <r>
      <rPr>
        <b/>
        <sz val="9"/>
        <rFont val="宋体"/>
        <charset val="134"/>
      </rPr>
      <t>品牌</t>
    </r>
  </si>
  <si>
    <r>
      <rPr>
        <b/>
        <sz val="9"/>
        <rFont val="宋体"/>
        <charset val="134"/>
      </rPr>
      <t>型号</t>
    </r>
  </si>
  <si>
    <r>
      <rPr>
        <b/>
        <sz val="9"/>
        <rFont val="宋体"/>
        <charset val="134"/>
      </rPr>
      <t>规格</t>
    </r>
  </si>
  <si>
    <r>
      <rPr>
        <b/>
        <sz val="9"/>
        <rFont val="宋体"/>
        <charset val="134"/>
      </rPr>
      <t>单位</t>
    </r>
  </si>
  <si>
    <t>需求数量</t>
  </si>
  <si>
    <r>
      <rPr>
        <b/>
        <sz val="9"/>
        <rFont val="宋体"/>
        <charset val="134"/>
      </rPr>
      <t>单价</t>
    </r>
  </si>
  <si>
    <r>
      <rPr>
        <b/>
        <sz val="9"/>
        <rFont val="宋体"/>
        <charset val="134"/>
      </rPr>
      <t>金额</t>
    </r>
  </si>
  <si>
    <r>
      <rPr>
        <b/>
        <sz val="9"/>
        <rFont val="宋体"/>
        <charset val="134"/>
      </rPr>
      <t>图片</t>
    </r>
  </si>
  <si>
    <r>
      <rPr>
        <b/>
        <sz val="9"/>
        <rFont val="宋体"/>
        <charset val="134"/>
      </rPr>
      <t>备注</t>
    </r>
  </si>
  <si>
    <t xml:space="preserve"> 主餐刀    Dinner Knife</t>
  </si>
  <si>
    <t>TTX191</t>
  </si>
  <si>
    <t>011</t>
  </si>
  <si>
    <t>22.5cm</t>
  </si>
  <si>
    <t>牛排刀</t>
  </si>
  <si>
    <t>22cm</t>
  </si>
  <si>
    <t>主餐叉    Dinner Fork</t>
  </si>
  <si>
    <t>20.5cm</t>
  </si>
  <si>
    <t xml:space="preserve">主餐勺    Dinner Spoon </t>
  </si>
  <si>
    <t>点心叉</t>
  </si>
  <si>
    <t>16cm</t>
  </si>
  <si>
    <t>vip餐吧</t>
  </si>
  <si>
    <t>点心勺   Dessert Spoon</t>
  </si>
  <si>
    <t>14.5cm</t>
  </si>
  <si>
    <t>不锈钢食品夹搁盘</t>
  </si>
  <si>
    <t>华南</t>
  </si>
  <si>
    <t>C1036</t>
  </si>
  <si>
    <t>270*115*30mm</t>
  </si>
  <si>
    <t>食品夹</t>
  </si>
  <si>
    <t xml:space="preserve">PAMA </t>
  </si>
  <si>
    <t>M061302</t>
  </si>
  <si>
    <t>L18cm</t>
  </si>
  <si>
    <t>世纪江山如诗玻璃器皿配置清单</t>
  </si>
  <si>
    <t>Model</t>
  </si>
  <si>
    <t>Total Price</t>
  </si>
  <si>
    <t>Picture</t>
  </si>
  <si>
    <t>Remark</t>
  </si>
  <si>
    <t>项目</t>
  </si>
  <si>
    <t>型号</t>
  </si>
  <si>
    <t>规格</t>
  </si>
  <si>
    <t>含税13%单价</t>
  </si>
  <si>
    <t>含税13%金额</t>
  </si>
  <si>
    <t>图片</t>
  </si>
  <si>
    <t>红葡萄酒杯</t>
  </si>
  <si>
    <t>ROUPA
文华系列</t>
  </si>
  <si>
    <t>409001</t>
  </si>
  <si>
    <t xml:space="preserve">H245mm
D91mm
540ml </t>
  </si>
  <si>
    <t>白葡萄酒杯</t>
  </si>
  <si>
    <t>409002</t>
  </si>
  <si>
    <t xml:space="preserve">H232mm
D83mm
460ml </t>
  </si>
  <si>
    <t>高度白酒杯</t>
  </si>
  <si>
    <t>国产</t>
  </si>
  <si>
    <t>6005</t>
  </si>
  <si>
    <t>H6mm</t>
  </si>
  <si>
    <t>白酒分酒器</t>
  </si>
  <si>
    <t>Baer</t>
  </si>
  <si>
    <t>5021</t>
  </si>
  <si>
    <t xml:space="preserve">DJ5021           V;100ML                  H;9.8CM             T;5CM </t>
  </si>
  <si>
    <t>红酒分酒器</t>
  </si>
  <si>
    <t>5018</t>
  </si>
  <si>
    <t>DJ50218          V;250ML                  H;13CM             T;5.9CM</t>
  </si>
  <si>
    <t>钢化香槟杯</t>
  </si>
  <si>
    <t>土耳其帕莎</t>
  </si>
  <si>
    <t>440166</t>
  </si>
  <si>
    <t>17cl-13  1/2 oz
H196mm
D46mm</t>
  </si>
  <si>
    <t>蜂巢彩杯
（果汁杯）</t>
  </si>
  <si>
    <t>ROUPA</t>
  </si>
  <si>
    <r>
      <rPr>
        <sz val="10"/>
        <rFont val="Arial"/>
        <charset val="134"/>
      </rPr>
      <t>21402</t>
    </r>
    <r>
      <rPr>
        <sz val="10"/>
        <rFont val="宋体"/>
        <charset val="134"/>
      </rPr>
      <t>幻彩</t>
    </r>
  </si>
  <si>
    <t>H100mm
D81mm
280ml</t>
  </si>
  <si>
    <t>宽口香槟杯</t>
  </si>
  <si>
    <t>Connexion Coupe</t>
  </si>
  <si>
    <t>1527S07</t>
  </si>
  <si>
    <t>TD 93 mm
FD 75 mm
MD 97 mm
H 144 mm</t>
  </si>
  <si>
    <t>直升杯</t>
  </si>
  <si>
    <t>Pasa</t>
  </si>
  <si>
    <t>52820</t>
  </si>
  <si>
    <r>
      <rPr>
        <sz val="10"/>
        <rFont val="Arial"/>
        <charset val="134"/>
      </rPr>
      <t xml:space="preserve">
H</t>
    </r>
    <r>
      <rPr>
        <sz val="10"/>
        <rFont val="宋体"/>
        <charset val="134"/>
      </rPr>
      <t>：</t>
    </r>
    <r>
      <rPr>
        <sz val="10"/>
        <rFont val="Arial"/>
        <charset val="134"/>
      </rPr>
      <t>143mm
D</t>
    </r>
    <r>
      <rPr>
        <sz val="10"/>
        <rFont val="宋体"/>
        <charset val="134"/>
      </rPr>
      <t>：</t>
    </r>
    <r>
      <rPr>
        <sz val="10"/>
        <rFont val="Arial"/>
        <charset val="134"/>
      </rPr>
      <t>85.5mm
295</t>
    </r>
    <r>
      <rPr>
        <sz val="10"/>
        <rFont val="宋体"/>
        <charset val="134"/>
      </rPr>
      <t>ml</t>
    </r>
  </si>
  <si>
    <t>雕花威士忌杯</t>
  </si>
  <si>
    <t>52790</t>
  </si>
  <si>
    <t>H96mm     D85.5mm
345ml</t>
  </si>
  <si>
    <t>三角杯</t>
  </si>
  <si>
    <t>440176</t>
  </si>
  <si>
    <t xml:space="preserve">
H172mm
D116mm
230ml
</t>
  </si>
  <si>
    <t>飓风杯</t>
  </si>
  <si>
    <t>ROUPA
大使系列</t>
  </si>
  <si>
    <t>3722</t>
  </si>
  <si>
    <t>15.5 oz / 45.8 cl / 458 ml
H181mm
 T86mm
 B83mm 
D86mm</t>
  </si>
  <si>
    <t>啤酒杯</t>
  </si>
  <si>
    <t>libby</t>
  </si>
  <si>
    <t>1612</t>
  </si>
  <si>
    <t>H181mm
355ml 12oz</t>
  </si>
  <si>
    <t>水晶红酒醒酒器</t>
  </si>
  <si>
    <t>Rona</t>
  </si>
  <si>
    <t>5979AA1500</t>
  </si>
  <si>
    <t>150cl- 53oz  H260mm     D228mm</t>
  </si>
  <si>
    <t>热饮杯</t>
  </si>
  <si>
    <r>
      <rPr>
        <sz val="10"/>
        <rFont val="Arial"/>
        <charset val="134"/>
      </rPr>
      <t>Libby</t>
    </r>
    <r>
      <rPr>
        <sz val="10"/>
        <rFont val="宋体"/>
        <charset val="134"/>
      </rPr>
      <t>停产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报价品牌：玉晶</t>
    </r>
  </si>
  <si>
    <t>5295</t>
  </si>
  <si>
    <t xml:space="preserve">8.5 oz / 25.1 cl / 251 ml
H148 T79 B70 D104
</t>
  </si>
  <si>
    <t>扎壶</t>
  </si>
  <si>
    <t>RF-004</t>
  </si>
  <si>
    <t>H205mm
Φ120mm
1400ml</t>
  </si>
  <si>
    <t>椭圆冰桶</t>
  </si>
  <si>
    <t>R-101</t>
  </si>
  <si>
    <t>H150mm D140mm
1200ml/40.5oz</t>
  </si>
  <si>
    <t>水杯托盘套装</t>
  </si>
  <si>
    <t>T3202</t>
  </si>
  <si>
    <t>H60mm
Φ60mm
100ml</t>
  </si>
  <si>
    <t>10</t>
  </si>
  <si>
    <t>RF-003</t>
  </si>
  <si>
    <t>H145mm
Φ170mm
1200ml</t>
  </si>
  <si>
    <t>不锈钢茶盘</t>
  </si>
  <si>
    <r>
      <rPr>
        <sz val="10"/>
        <rFont val="宋体"/>
        <charset val="134"/>
      </rPr>
      <t>（玫瑰金）</t>
    </r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</si>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</sst>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￥-804]* #,##0.00_ ;_ [$￥-804]* \-#,##0.00_ ;_ [$￥-804]* &quot;-&quot;??_ ;_ @_ "/>
    <numFmt numFmtId="178" formatCode="0.00_ "/>
    <numFmt numFmtId="179" formatCode="#,##0.00_);[Red]\(#,##0.00\)"/>
    <numFmt numFmtId="180" formatCode="0_);[Red]\(0\)"/>
    <numFmt numFmtId="181" formatCode="0_ "/>
  </numFmts>
  <fonts count="62">
    <font>
      <sz val="11"/>
      <color theme="1"/>
      <name val="宋体"/>
      <charset val="134"/>
      <scheme val="minor"/>
    </font>
    <font>
      <b/>
      <sz val="18"/>
      <color indexed="8"/>
      <name val="等线"/>
      <charset val="134"/>
    </font>
    <font>
      <b/>
      <sz val="18"/>
      <color indexed="8"/>
      <name val="Arial"/>
      <charset val="134"/>
    </font>
    <font>
      <b/>
      <sz val="10"/>
      <name val="Arial"/>
      <charset val="134"/>
    </font>
    <font>
      <b/>
      <sz val="10"/>
      <color indexed="8"/>
      <name val="Arial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等线"/>
      <charset val="134"/>
    </font>
    <font>
      <b/>
      <sz val="18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20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Arial"/>
      <charset val="0"/>
    </font>
    <font>
      <sz val="9"/>
      <name val="Arial"/>
      <charset val="0"/>
    </font>
    <font>
      <sz val="10.5"/>
      <color rgb="FF000000"/>
      <name val="宋体"/>
      <charset val="0"/>
    </font>
    <font>
      <sz val="10.5"/>
      <color indexed="8"/>
      <name val="Times New Roman"/>
      <charset val="0"/>
    </font>
    <font>
      <sz val="12"/>
      <name val="宋体"/>
      <charset val="134"/>
    </font>
    <font>
      <sz val="9"/>
      <color theme="1"/>
      <name val="宋体"/>
      <charset val="134"/>
    </font>
    <font>
      <sz val="10.5"/>
      <color rgb="FF000000"/>
      <name val="Times New Roman"/>
      <charset val="0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name val="Times New Roman"/>
      <charset val="134"/>
    </font>
    <font>
      <sz val="9"/>
      <name val="Arial"/>
      <charset val="134"/>
    </font>
    <font>
      <sz val="9"/>
      <color rgb="FF000000"/>
      <name val="宋体"/>
      <charset val="0"/>
    </font>
    <font>
      <sz val="9"/>
      <name val="宋体"/>
      <charset val="0"/>
    </font>
    <font>
      <sz val="10.5"/>
      <name val="宋体"/>
      <charset val="0"/>
    </font>
    <font>
      <sz val="10.5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2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52" fillId="0" borderId="0"/>
    <xf numFmtId="0" fontId="28" fillId="0" borderId="0"/>
    <xf numFmtId="0" fontId="7" fillId="0" borderId="0"/>
    <xf numFmtId="0" fontId="28" fillId="0" borderId="0"/>
    <xf numFmtId="0" fontId="53" fillId="34" borderId="0">
      <alignment horizontal="center" vertical="center"/>
    </xf>
    <xf numFmtId="0" fontId="54" fillId="34" borderId="0">
      <alignment horizontal="center" vertical="center"/>
    </xf>
    <xf numFmtId="0" fontId="55" fillId="34" borderId="0">
      <alignment horizontal="center" vertical="center"/>
    </xf>
    <xf numFmtId="0" fontId="52" fillId="0" borderId="0"/>
    <xf numFmtId="0" fontId="23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56" fillId="0" borderId="0" applyProtection="0"/>
    <xf numFmtId="0" fontId="56" fillId="0" borderId="0" applyProtection="0"/>
    <xf numFmtId="176" fontId="28" fillId="0" borderId="0">
      <alignment vertical="center"/>
    </xf>
  </cellStyleXfs>
  <cellXfs count="124">
    <xf numFmtId="0" fontId="0" fillId="0" borderId="0" xfId="0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7" fillId="0" borderId="1" xfId="62" applyNumberFormat="1" applyFont="1" applyFill="1" applyBorder="1" applyAlignment="1">
      <alignment horizontal="center" vertical="center"/>
    </xf>
    <xf numFmtId="177" fontId="8" fillId="0" borderId="1" xfId="62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176" fontId="7" fillId="0" borderId="1" xfId="62" applyNumberFormat="1" applyFont="1" applyFill="1" applyBorder="1" applyAlignment="1">
      <alignment horizontal="center" vertical="center" wrapText="1"/>
    </xf>
    <xf numFmtId="178" fontId="7" fillId="0" borderId="1" xfId="63" applyNumberFormat="1" applyFont="1" applyFill="1" applyBorder="1" applyAlignment="1">
      <alignment horizontal="center" vertical="center" wrapText="1"/>
    </xf>
    <xf numFmtId="177" fontId="8" fillId="0" borderId="1" xfId="64" applyNumberFormat="1" applyFont="1" applyFill="1" applyBorder="1" applyAlignment="1">
      <alignment horizontal="center" vertical="center" wrapText="1"/>
    </xf>
    <xf numFmtId="177" fontId="8" fillId="0" borderId="1" xfId="65" applyNumberFormat="1" applyFont="1" applyFill="1" applyBorder="1" applyAlignment="1">
      <alignment horizontal="center" vertical="center" wrapText="1"/>
    </xf>
    <xf numFmtId="177" fontId="9" fillId="0" borderId="1" xfId="65" applyNumberFormat="1" applyFont="1" applyFill="1" applyBorder="1" applyAlignment="1">
      <alignment horizontal="center" vertical="center" wrapText="1"/>
    </xf>
    <xf numFmtId="177" fontId="7" fillId="0" borderId="1" xfId="62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/>
    </xf>
    <xf numFmtId="49" fontId="10" fillId="0" borderId="1" xfId="63" applyNumberFormat="1" applyFont="1" applyFill="1" applyBorder="1" applyAlignment="1">
      <alignment horizontal="center" vertical="center" wrapText="1"/>
    </xf>
    <xf numFmtId="176" fontId="8" fillId="0" borderId="1" xfId="62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63" applyNumberFormat="1" applyFont="1" applyFill="1" applyBorder="1" applyAlignment="1">
      <alignment horizontal="left" vertical="center"/>
    </xf>
    <xf numFmtId="0" fontId="12" fillId="0" borderId="1" xfId="63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/>
    <xf numFmtId="0" fontId="0" fillId="0" borderId="5" xfId="0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0" fontId="14" fillId="0" borderId="1" xfId="6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7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7" fontId="19" fillId="0" borderId="0" xfId="0" applyNumberFormat="1" applyFont="1" applyFill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7" fontId="21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7" fontId="9" fillId="0" borderId="1" xfId="0" applyNumberFormat="1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178" fontId="9" fillId="0" borderId="1" xfId="50" applyNumberFormat="1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54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0" borderId="1" xfId="54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center" vertical="center" wrapText="1"/>
    </xf>
    <xf numFmtId="0" fontId="26" fillId="0" borderId="1" xfId="55" applyFont="1" applyFill="1" applyBorder="1" applyAlignment="1">
      <alignment horizontal="center" vertical="center" wrapText="1"/>
    </xf>
    <xf numFmtId="0" fontId="27" fillId="0" borderId="1" xfId="55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23" fillId="0" borderId="1" xfId="51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9" fillId="0" borderId="0" xfId="0" applyFont="1" applyFill="1" applyAlignment="1">
      <alignment horizontal="center" vertical="center"/>
    </xf>
    <xf numFmtId="7" fontId="19" fillId="0" borderId="0" xfId="0" applyNumberFormat="1" applyFont="1" applyFill="1" applyAlignment="1">
      <alignment horizontal="center" vertical="center"/>
    </xf>
    <xf numFmtId="7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7" fontId="0" fillId="0" borderId="0" xfId="0" applyNumberFormat="1" applyFill="1" applyAlignment="1">
      <alignment horizontal="center" vertical="center"/>
    </xf>
    <xf numFmtId="178" fontId="22" fillId="0" borderId="1" xfId="50" applyNumberFormat="1" applyFont="1" applyFill="1" applyBorder="1" applyAlignment="1">
      <alignment horizontal="center" vertical="center" wrapText="1"/>
    </xf>
    <xf numFmtId="0" fontId="23" fillId="0" borderId="1" xfId="52" applyFont="1" applyFill="1" applyBorder="1" applyAlignment="1">
      <alignment horizontal="center" vertical="center" wrapText="1" shrinkToFit="1"/>
    </xf>
    <xf numFmtId="0" fontId="25" fillId="0" borderId="1" xfId="52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 wrapText="1" shrinkToFi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55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厨房-厨房用具" xfId="49"/>
    <cellStyle name="Normal_Westin YiTian  Shenzhen HOE Estimation Budget Submission (11 24 2008)" xfId="50"/>
    <cellStyle name="常规_汇海报价单(范本)" xfId="51"/>
    <cellStyle name="常规_综合 6-22" xfId="52"/>
    <cellStyle name="Normal_Q-28 Chinese Kitchen Utensil" xfId="53"/>
    <cellStyle name="Normal 6" xfId="54"/>
    <cellStyle name="Normal_F&amp;B Master HOE Haikou Frank" xfId="55"/>
    <cellStyle name="S2" xfId="56"/>
    <cellStyle name="S7" xfId="57"/>
    <cellStyle name="S10" xfId="58"/>
    <cellStyle name="常规 19" xfId="59"/>
    <cellStyle name="常规_ 品牌1_3" xfId="60"/>
    <cellStyle name="常规 11" xfId="61"/>
    <cellStyle name="常规 4" xfId="62"/>
    <cellStyle name="常规_玻璃类" xfId="63"/>
    <cellStyle name="常规_金九龙西餐厅7-11发邮件" xfId="64"/>
    <cellStyle name="常规_金九龙餐饮部中餐采购清单7-11发邮件1" xfId="65"/>
    <cellStyle name="常规 2 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5.jpeg"/><Relationship Id="rId8" Type="http://schemas.openxmlformats.org/officeDocument/2006/relationships/image" Target="media/image24.jpeg"/><Relationship Id="rId79" Type="http://schemas.openxmlformats.org/officeDocument/2006/relationships/image" Target="media/image93.png"/><Relationship Id="rId78" Type="http://schemas.openxmlformats.org/officeDocument/2006/relationships/image" Target="media/image92.png"/><Relationship Id="rId77" Type="http://schemas.openxmlformats.org/officeDocument/2006/relationships/image" Target="media/image91.png"/><Relationship Id="rId76" Type="http://schemas.openxmlformats.org/officeDocument/2006/relationships/image" Target="media/image17.png"/><Relationship Id="rId75" Type="http://schemas.openxmlformats.org/officeDocument/2006/relationships/image" Target="media/image90.png"/><Relationship Id="rId74" Type="http://schemas.openxmlformats.org/officeDocument/2006/relationships/image" Target="media/image89.png"/><Relationship Id="rId73" Type="http://schemas.openxmlformats.org/officeDocument/2006/relationships/image" Target="media/image88.png"/><Relationship Id="rId72" Type="http://schemas.openxmlformats.org/officeDocument/2006/relationships/image" Target="media/image87.png"/><Relationship Id="rId71" Type="http://schemas.openxmlformats.org/officeDocument/2006/relationships/image" Target="media/image86.png"/><Relationship Id="rId70" Type="http://schemas.openxmlformats.org/officeDocument/2006/relationships/image" Target="media/image85.png"/><Relationship Id="rId7" Type="http://schemas.openxmlformats.org/officeDocument/2006/relationships/image" Target="media/image1.png"/><Relationship Id="rId69" Type="http://schemas.openxmlformats.org/officeDocument/2006/relationships/image" Target="media/image84.png"/><Relationship Id="rId68" Type="http://schemas.openxmlformats.org/officeDocument/2006/relationships/image" Target="media/image83.png"/><Relationship Id="rId67" Type="http://schemas.openxmlformats.org/officeDocument/2006/relationships/image" Target="media/image82.png"/><Relationship Id="rId66" Type="http://schemas.openxmlformats.org/officeDocument/2006/relationships/image" Target="media/image81.png"/><Relationship Id="rId65" Type="http://schemas.openxmlformats.org/officeDocument/2006/relationships/image" Target="media/image80.png"/><Relationship Id="rId64" Type="http://schemas.openxmlformats.org/officeDocument/2006/relationships/image" Target="media/image79.jpeg"/><Relationship Id="rId63" Type="http://schemas.openxmlformats.org/officeDocument/2006/relationships/image" Target="media/image78.jpeg"/><Relationship Id="rId62" Type="http://schemas.openxmlformats.org/officeDocument/2006/relationships/image" Target="media/image77.jpeg"/><Relationship Id="rId61" Type="http://schemas.openxmlformats.org/officeDocument/2006/relationships/image" Target="media/image76.jpeg"/><Relationship Id="rId60" Type="http://schemas.openxmlformats.org/officeDocument/2006/relationships/image" Target="media/image75.png"/><Relationship Id="rId6" Type="http://schemas.openxmlformats.org/officeDocument/2006/relationships/image" Target="media/image23.png"/><Relationship Id="rId59" Type="http://schemas.openxmlformats.org/officeDocument/2006/relationships/image" Target="media/image74.png"/><Relationship Id="rId58" Type="http://schemas.openxmlformats.org/officeDocument/2006/relationships/image" Target="media/image73.jpeg"/><Relationship Id="rId57" Type="http://schemas.openxmlformats.org/officeDocument/2006/relationships/image" Target="media/image72.png"/><Relationship Id="rId56" Type="http://schemas.openxmlformats.org/officeDocument/2006/relationships/image" Target="media/image71.png"/><Relationship Id="rId55" Type="http://schemas.openxmlformats.org/officeDocument/2006/relationships/image" Target="media/image70.png"/><Relationship Id="rId54" Type="http://schemas.openxmlformats.org/officeDocument/2006/relationships/image" Target="media/image69.png"/><Relationship Id="rId53" Type="http://schemas.openxmlformats.org/officeDocument/2006/relationships/image" Target="media/image68.png"/><Relationship Id="rId52" Type="http://schemas.openxmlformats.org/officeDocument/2006/relationships/image" Target="media/image67.png"/><Relationship Id="rId51" Type="http://schemas.openxmlformats.org/officeDocument/2006/relationships/image" Target="NULL" TargetMode="External"/><Relationship Id="rId50" Type="http://schemas.openxmlformats.org/officeDocument/2006/relationships/image" Target="media/image66.png"/><Relationship Id="rId5" Type="http://schemas.openxmlformats.org/officeDocument/2006/relationships/image" Target="media/image22.jpeg"/><Relationship Id="rId49" Type="http://schemas.openxmlformats.org/officeDocument/2006/relationships/image" Target="media/image65.png"/><Relationship Id="rId48" Type="http://schemas.openxmlformats.org/officeDocument/2006/relationships/image" Target="media/image64.jpeg"/><Relationship Id="rId47" Type="http://schemas.openxmlformats.org/officeDocument/2006/relationships/image" Target="media/image63.jpeg"/><Relationship Id="rId46" Type="http://schemas.openxmlformats.org/officeDocument/2006/relationships/image" Target="media/image62.jpeg"/><Relationship Id="rId45" Type="http://schemas.openxmlformats.org/officeDocument/2006/relationships/image" Target="media/image61.png"/><Relationship Id="rId44" Type="http://schemas.openxmlformats.org/officeDocument/2006/relationships/image" Target="media/image60.png"/><Relationship Id="rId43" Type="http://schemas.openxmlformats.org/officeDocument/2006/relationships/image" Target="media/image59.png"/><Relationship Id="rId42" Type="http://schemas.openxmlformats.org/officeDocument/2006/relationships/image" Target="media/image58.jpeg"/><Relationship Id="rId41" Type="http://schemas.openxmlformats.org/officeDocument/2006/relationships/image" Target="media/image57.jpeg"/><Relationship Id="rId40" Type="http://schemas.openxmlformats.org/officeDocument/2006/relationships/image" Target="media/image56.emf"/><Relationship Id="rId4" Type="http://schemas.openxmlformats.org/officeDocument/2006/relationships/image" Target="media/image21.png"/><Relationship Id="rId39" Type="http://schemas.openxmlformats.org/officeDocument/2006/relationships/image" Target="media/image55.jpeg"/><Relationship Id="rId38" Type="http://schemas.openxmlformats.org/officeDocument/2006/relationships/image" Target="media/image54.png"/><Relationship Id="rId37" Type="http://schemas.openxmlformats.org/officeDocument/2006/relationships/image" Target="media/image53.jpeg"/><Relationship Id="rId36" Type="http://schemas.openxmlformats.org/officeDocument/2006/relationships/image" Target="media/image52.png"/><Relationship Id="rId35" Type="http://schemas.openxmlformats.org/officeDocument/2006/relationships/image" Target="media/image51.jpeg"/><Relationship Id="rId34" Type="http://schemas.openxmlformats.org/officeDocument/2006/relationships/image" Target="media/image50.png"/><Relationship Id="rId33" Type="http://schemas.openxmlformats.org/officeDocument/2006/relationships/image" Target="media/image49.png"/><Relationship Id="rId32" Type="http://schemas.openxmlformats.org/officeDocument/2006/relationships/image" Target="media/image48.jpeg"/><Relationship Id="rId31" Type="http://schemas.openxmlformats.org/officeDocument/2006/relationships/image" Target="media/image47.png"/><Relationship Id="rId30" Type="http://schemas.openxmlformats.org/officeDocument/2006/relationships/image" Target="media/image46.jpeg"/><Relationship Id="rId3" Type="http://schemas.openxmlformats.org/officeDocument/2006/relationships/image" Target="media/image20.jpeg"/><Relationship Id="rId29" Type="http://schemas.openxmlformats.org/officeDocument/2006/relationships/image" Target="media/image45.png"/><Relationship Id="rId28" Type="http://schemas.openxmlformats.org/officeDocument/2006/relationships/image" Target="media/image44.png"/><Relationship Id="rId27" Type="http://schemas.openxmlformats.org/officeDocument/2006/relationships/image" Target="media/image43.png"/><Relationship Id="rId26" Type="http://schemas.openxmlformats.org/officeDocument/2006/relationships/image" Target="media/image42.png"/><Relationship Id="rId25" Type="http://schemas.openxmlformats.org/officeDocument/2006/relationships/image" Target="media/image41.png"/><Relationship Id="rId24" Type="http://schemas.openxmlformats.org/officeDocument/2006/relationships/image" Target="media/image40.png"/><Relationship Id="rId23" Type="http://schemas.openxmlformats.org/officeDocument/2006/relationships/image" Target="media/image39.png"/><Relationship Id="rId22" Type="http://schemas.openxmlformats.org/officeDocument/2006/relationships/image" Target="media/image38.jpeg"/><Relationship Id="rId21" Type="http://schemas.openxmlformats.org/officeDocument/2006/relationships/image" Target="media/image37.png"/><Relationship Id="rId20" Type="http://schemas.openxmlformats.org/officeDocument/2006/relationships/image" Target="media/image36.jpeg"/><Relationship Id="rId2" Type="http://schemas.openxmlformats.org/officeDocument/2006/relationships/image" Target="media/image19.png"/><Relationship Id="rId19" Type="http://schemas.openxmlformats.org/officeDocument/2006/relationships/image" Target="media/image35.png"/><Relationship Id="rId18" Type="http://schemas.openxmlformats.org/officeDocument/2006/relationships/image" Target="media/image34.png"/><Relationship Id="rId17" Type="http://schemas.openxmlformats.org/officeDocument/2006/relationships/image" Target="media/image33.png"/><Relationship Id="rId16" Type="http://schemas.openxmlformats.org/officeDocument/2006/relationships/image" Target="media/image32.png"/><Relationship Id="rId15" Type="http://schemas.openxmlformats.org/officeDocument/2006/relationships/image" Target="media/image31.jpeg"/><Relationship Id="rId14" Type="http://schemas.openxmlformats.org/officeDocument/2006/relationships/image" Target="media/image30.png"/><Relationship Id="rId13" Type="http://schemas.openxmlformats.org/officeDocument/2006/relationships/image" Target="media/image29.jpeg"/><Relationship Id="rId12" Type="http://schemas.openxmlformats.org/officeDocument/2006/relationships/image" Target="media/image28.png"/><Relationship Id="rId11" Type="http://schemas.openxmlformats.org/officeDocument/2006/relationships/image" Target="media/image27.jpeg"/><Relationship Id="rId10" Type="http://schemas.openxmlformats.org/officeDocument/2006/relationships/image" Target="media/image26.png"/><Relationship Id="rId1" Type="http://schemas.openxmlformats.org/officeDocument/2006/relationships/image" Target="media/image18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7.png"/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29210</xdr:colOff>
      <xdr:row>8</xdr:row>
      <xdr:rowOff>19685</xdr:rowOff>
    </xdr:from>
    <xdr:to>
      <xdr:col>8</xdr:col>
      <xdr:colOff>29210</xdr:colOff>
      <xdr:row>8</xdr:row>
      <xdr:rowOff>619125</xdr:rowOff>
    </xdr:to>
    <xdr:pic>
      <xdr:nvPicPr>
        <xdr:cNvPr id="8" name="Picture 98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062085" y="6547485"/>
          <a:ext cx="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18415</xdr:colOff>
      <xdr:row>10</xdr:row>
      <xdr:rowOff>29845</xdr:rowOff>
    </xdr:from>
    <xdr:to>
      <xdr:col>8</xdr:col>
      <xdr:colOff>18415</xdr:colOff>
      <xdr:row>10</xdr:row>
      <xdr:rowOff>601345</xdr:rowOff>
    </xdr:to>
    <xdr:pic>
      <xdr:nvPicPr>
        <xdr:cNvPr id="10" name="Picture 98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9051290" y="8437245"/>
          <a:ext cx="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330835</xdr:colOff>
      <xdr:row>21</xdr:row>
      <xdr:rowOff>54610</xdr:rowOff>
    </xdr:from>
    <xdr:to>
      <xdr:col>8</xdr:col>
      <xdr:colOff>1062990</xdr:colOff>
      <xdr:row>21</xdr:row>
      <xdr:rowOff>783590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3710" y="18799810"/>
          <a:ext cx="73215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364490</xdr:colOff>
      <xdr:row>24</xdr:row>
      <xdr:rowOff>34925</xdr:rowOff>
    </xdr:from>
    <xdr:to>
      <xdr:col>8</xdr:col>
      <xdr:colOff>1136650</xdr:colOff>
      <xdr:row>24</xdr:row>
      <xdr:rowOff>887730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97365" y="21599525"/>
          <a:ext cx="772160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292735</xdr:colOff>
      <xdr:row>25</xdr:row>
      <xdr:rowOff>59055</xdr:rowOff>
    </xdr:from>
    <xdr:to>
      <xdr:col>8</xdr:col>
      <xdr:colOff>1097280</xdr:colOff>
      <xdr:row>25</xdr:row>
      <xdr:rowOff>862330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25610" y="22563455"/>
          <a:ext cx="804545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454025</xdr:colOff>
      <xdr:row>38</xdr:row>
      <xdr:rowOff>41275</xdr:rowOff>
    </xdr:from>
    <xdr:to>
      <xdr:col>8</xdr:col>
      <xdr:colOff>1082040</xdr:colOff>
      <xdr:row>38</xdr:row>
      <xdr:rowOff>866775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86900" y="34636075"/>
          <a:ext cx="62801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492760</xdr:colOff>
      <xdr:row>39</xdr:row>
      <xdr:rowOff>51435</xdr:rowOff>
    </xdr:from>
    <xdr:to>
      <xdr:col>8</xdr:col>
      <xdr:colOff>1069975</xdr:colOff>
      <xdr:row>39</xdr:row>
      <xdr:rowOff>851535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635" y="35573335"/>
          <a:ext cx="57721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576580</xdr:colOff>
      <xdr:row>40</xdr:row>
      <xdr:rowOff>88900</xdr:rowOff>
    </xdr:from>
    <xdr:to>
      <xdr:col>8</xdr:col>
      <xdr:colOff>1129030</xdr:colOff>
      <xdr:row>40</xdr:row>
      <xdr:rowOff>830580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609455" y="36537900"/>
          <a:ext cx="55245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335915</xdr:colOff>
      <xdr:row>41</xdr:row>
      <xdr:rowOff>69850</xdr:rowOff>
    </xdr:from>
    <xdr:to>
      <xdr:col>8</xdr:col>
      <xdr:colOff>1118870</xdr:colOff>
      <xdr:row>41</xdr:row>
      <xdr:rowOff>805180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68790" y="37445950"/>
          <a:ext cx="78295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45</xdr:row>
      <xdr:rowOff>57150</xdr:rowOff>
    </xdr:from>
    <xdr:to>
      <xdr:col>8</xdr:col>
      <xdr:colOff>926465</xdr:colOff>
      <xdr:row>45</xdr:row>
      <xdr:rowOff>791210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73260" y="41052750"/>
          <a:ext cx="386080" cy="73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454025</xdr:colOff>
      <xdr:row>7</xdr:row>
      <xdr:rowOff>41275</xdr:rowOff>
    </xdr:from>
    <xdr:to>
      <xdr:col>8</xdr:col>
      <xdr:colOff>1082040</xdr:colOff>
      <xdr:row>7</xdr:row>
      <xdr:rowOff>866775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6125" y="5245735"/>
          <a:ext cx="62801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492760</xdr:colOff>
      <xdr:row>8</xdr:row>
      <xdr:rowOff>51435</xdr:rowOff>
    </xdr:from>
    <xdr:to>
      <xdr:col>8</xdr:col>
      <xdr:colOff>1069975</xdr:colOff>
      <xdr:row>8</xdr:row>
      <xdr:rowOff>851535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74860" y="6144895"/>
          <a:ext cx="57721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18415</xdr:colOff>
      <xdr:row>4</xdr:row>
      <xdr:rowOff>29845</xdr:rowOff>
    </xdr:from>
    <xdr:to>
      <xdr:col>8</xdr:col>
      <xdr:colOff>18415</xdr:colOff>
      <xdr:row>4</xdr:row>
      <xdr:rowOff>601345</xdr:rowOff>
    </xdr:to>
    <xdr:pic>
      <xdr:nvPicPr>
        <xdr:cNvPr id="4" name="Picture 98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8485505" y="2557145"/>
          <a:ext cx="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454025</xdr:colOff>
      <xdr:row>10</xdr:row>
      <xdr:rowOff>41275</xdr:rowOff>
    </xdr:from>
    <xdr:to>
      <xdr:col>8</xdr:col>
      <xdr:colOff>1082040</xdr:colOff>
      <xdr:row>10</xdr:row>
      <xdr:rowOff>866775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21115" y="7978775"/>
          <a:ext cx="62801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492760</xdr:colOff>
      <xdr:row>11</xdr:row>
      <xdr:rowOff>51435</xdr:rowOff>
    </xdr:from>
    <xdr:to>
      <xdr:col>8</xdr:col>
      <xdr:colOff>1069975</xdr:colOff>
      <xdr:row>11</xdr:row>
      <xdr:rowOff>851535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9850" y="8890635"/>
          <a:ext cx="57721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414655</xdr:colOff>
      <xdr:row>10</xdr:row>
      <xdr:rowOff>43180</xdr:rowOff>
    </xdr:from>
    <xdr:to>
      <xdr:col>8</xdr:col>
      <xdr:colOff>1136015</xdr:colOff>
      <xdr:row>10</xdr:row>
      <xdr:rowOff>763270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87790" y="7978140"/>
          <a:ext cx="72136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14</xdr:row>
      <xdr:rowOff>62865</xdr:rowOff>
    </xdr:from>
    <xdr:to>
      <xdr:col>8</xdr:col>
      <xdr:colOff>1134745</xdr:colOff>
      <xdr:row>14</xdr:row>
      <xdr:rowOff>1075055</xdr:rowOff>
    </xdr:to>
    <xdr:pic>
      <xdr:nvPicPr>
        <xdr:cNvPr id="4" name="Picture 10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182735" y="11617325"/>
          <a:ext cx="525145" cy="1012190"/>
        </a:xfrm>
        <a:prstGeom prst="rect">
          <a:avLst/>
        </a:prstGeom>
      </xdr:spPr>
    </xdr:pic>
    <xdr:clientData/>
  </xdr:twoCellAnchor>
  <xdr:twoCellAnchor editAs="oneCell">
    <xdr:from>
      <xdr:col>8</xdr:col>
      <xdr:colOff>582930</xdr:colOff>
      <xdr:row>18</xdr:row>
      <xdr:rowOff>31750</xdr:rowOff>
    </xdr:from>
    <xdr:to>
      <xdr:col>8</xdr:col>
      <xdr:colOff>1210945</xdr:colOff>
      <xdr:row>18</xdr:row>
      <xdr:rowOff>857250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56065" y="15523210"/>
          <a:ext cx="62801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716280</xdr:colOff>
      <xdr:row>19</xdr:row>
      <xdr:rowOff>37465</xdr:rowOff>
    </xdr:from>
    <xdr:to>
      <xdr:col>8</xdr:col>
      <xdr:colOff>1293495</xdr:colOff>
      <xdr:row>19</xdr:row>
      <xdr:rowOff>837565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89415" y="16443325"/>
          <a:ext cx="57721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104775</xdr:colOff>
      <xdr:row>9</xdr:row>
      <xdr:rowOff>0</xdr:rowOff>
    </xdr:from>
    <xdr:to>
      <xdr:col>9</xdr:col>
      <xdr:colOff>685800</xdr:colOff>
      <xdr:row>9</xdr:row>
      <xdr:rowOff>0</xdr:rowOff>
    </xdr:to>
    <xdr:pic>
      <xdr:nvPicPr>
        <xdr:cNvPr id="2" name="图片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54115" y="658495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</xdr:row>
      <xdr:rowOff>0</xdr:rowOff>
    </xdr:from>
    <xdr:to>
      <xdr:col>9</xdr:col>
      <xdr:colOff>685800</xdr:colOff>
      <xdr:row>9</xdr:row>
      <xdr:rowOff>0</xdr:rowOff>
    </xdr:to>
    <xdr:pic>
      <xdr:nvPicPr>
        <xdr:cNvPr id="3" name="图片 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44590" y="658495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9</xdr:row>
      <xdr:rowOff>0</xdr:rowOff>
    </xdr:from>
    <xdr:to>
      <xdr:col>9</xdr:col>
      <xdr:colOff>685800</xdr:colOff>
      <xdr:row>9</xdr:row>
      <xdr:rowOff>0</xdr:rowOff>
    </xdr:to>
    <xdr:pic>
      <xdr:nvPicPr>
        <xdr:cNvPr id="4" name="图片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377940" y="65849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</xdr:row>
      <xdr:rowOff>171450</xdr:rowOff>
    </xdr:from>
    <xdr:to>
      <xdr:col>9</xdr:col>
      <xdr:colOff>685800</xdr:colOff>
      <xdr:row>3</xdr:row>
      <xdr:rowOff>171450</xdr:rowOff>
    </xdr:to>
    <xdr:pic>
      <xdr:nvPicPr>
        <xdr:cNvPr id="7" name="图片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54115" y="118999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7</xdr:row>
      <xdr:rowOff>0</xdr:rowOff>
    </xdr:from>
    <xdr:to>
      <xdr:col>9</xdr:col>
      <xdr:colOff>685800</xdr:colOff>
      <xdr:row>7</xdr:row>
      <xdr:rowOff>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44590" y="4669790"/>
          <a:ext cx="590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7</xdr:row>
      <xdr:rowOff>171450</xdr:rowOff>
    </xdr:from>
    <xdr:to>
      <xdr:col>9</xdr:col>
      <xdr:colOff>685800</xdr:colOff>
      <xdr:row>7</xdr:row>
      <xdr:rowOff>171450</xdr:rowOff>
    </xdr:to>
    <xdr:pic>
      <xdr:nvPicPr>
        <xdr:cNvPr id="9" name="图片 6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377940" y="484124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28575</xdr:colOff>
      <xdr:row>1</xdr:row>
      <xdr:rowOff>123825</xdr:rowOff>
    </xdr:from>
    <xdr:to>
      <xdr:col>7</xdr:col>
      <xdr:colOff>76200</xdr:colOff>
      <xdr:row>1</xdr:row>
      <xdr:rowOff>182880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08295" y="669925"/>
          <a:ext cx="47625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</xdr:colOff>
      <xdr:row>1</xdr:row>
      <xdr:rowOff>123825</xdr:rowOff>
    </xdr:from>
    <xdr:to>
      <xdr:col>3</xdr:col>
      <xdr:colOff>85725</xdr:colOff>
      <xdr:row>1</xdr:row>
      <xdr:rowOff>182880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669925"/>
          <a:ext cx="57150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4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5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10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11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200025</xdr:colOff>
      <xdr:row>12</xdr:row>
      <xdr:rowOff>0</xdr:rowOff>
    </xdr:from>
    <xdr:to>
      <xdr:col>8</xdr:col>
      <xdr:colOff>514350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r:embed="rId1"/>
        <a:srcRect l="18700" t="11476" r="27235" b="35081"/>
        <a:stretch>
          <a:fillRect/>
        </a:stretch>
      </xdr:blipFill>
      <xdr:spPr>
        <a:xfrm>
          <a:off x="6387465" y="1131570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17</xdr:row>
      <xdr:rowOff>182880</xdr:rowOff>
    </xdr:from>
    <xdr:to>
      <xdr:col>8</xdr:col>
      <xdr:colOff>495300</xdr:colOff>
      <xdr:row>17</xdr:row>
      <xdr:rowOff>182880</xdr:rowOff>
    </xdr:to>
    <xdr:pic>
      <xdr:nvPicPr>
        <xdr:cNvPr id="14" name="Picture 14"/>
        <xdr:cNvPicPr>
          <a:picLocks noChangeAspect="1" noChangeArrowheads="1"/>
        </xdr:cNvPicPr>
      </xdr:nvPicPr>
      <xdr:blipFill>
        <a:blip r:embed="rId2"/>
        <a:srcRect l="15625" t="10121" r="30803" b="34009"/>
        <a:stretch>
          <a:fillRect/>
        </a:stretch>
      </xdr:blipFill>
      <xdr:spPr>
        <a:xfrm>
          <a:off x="6368415" y="1695958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12</xdr:row>
      <xdr:rowOff>0</xdr:rowOff>
    </xdr:from>
    <xdr:to>
      <xdr:col>8</xdr:col>
      <xdr:colOff>647700</xdr:colOff>
      <xdr:row>12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r:embed="rId3"/>
        <a:srcRect l="5930" t="21608" r="3346" b="42627"/>
        <a:stretch>
          <a:fillRect/>
        </a:stretch>
      </xdr:blipFill>
      <xdr:spPr>
        <a:xfrm>
          <a:off x="6273165" y="11315700"/>
          <a:ext cx="5619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32758</xdr:colOff>
      <xdr:row>20</xdr:row>
      <xdr:rowOff>180976</xdr:rowOff>
    </xdr:from>
    <xdr:to>
      <xdr:col>8</xdr:col>
      <xdr:colOff>986528</xdr:colOff>
      <xdr:row>20</xdr:row>
      <xdr:rowOff>1028701</xdr:rowOff>
    </xdr:to>
    <xdr:pic>
      <xdr:nvPicPr>
        <xdr:cNvPr id="19" name="Picture 13" descr="C:\Users\ADMINI~1\AppData\Local\Temp\企业微信截图_1661415759806.pn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6219825" y="20234275"/>
          <a:ext cx="953770" cy="847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1</xdr:row>
      <xdr:rowOff>123825</xdr:rowOff>
    </xdr:from>
    <xdr:to>
      <xdr:col>7</xdr:col>
      <xdr:colOff>76200</xdr:colOff>
      <xdr:row>1</xdr:row>
      <xdr:rowOff>182880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5408295" y="669925"/>
          <a:ext cx="47625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</xdr:colOff>
      <xdr:row>1</xdr:row>
      <xdr:rowOff>123825</xdr:rowOff>
    </xdr:from>
    <xdr:to>
      <xdr:col>3</xdr:col>
      <xdr:colOff>85725</xdr:colOff>
      <xdr:row>1</xdr:row>
      <xdr:rowOff>182880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5075" y="669925"/>
          <a:ext cx="57150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27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28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29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30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200025</xdr:colOff>
      <xdr:row>12</xdr:row>
      <xdr:rowOff>0</xdr:rowOff>
    </xdr:from>
    <xdr:to>
      <xdr:col>8</xdr:col>
      <xdr:colOff>514350</xdr:colOff>
      <xdr:row>12</xdr:row>
      <xdr:rowOff>0</xdr:rowOff>
    </xdr:to>
    <xdr:pic>
      <xdr:nvPicPr>
        <xdr:cNvPr id="31" name="Picture 16"/>
        <xdr:cNvPicPr>
          <a:picLocks noChangeAspect="1" noChangeArrowheads="1"/>
        </xdr:cNvPicPr>
      </xdr:nvPicPr>
      <xdr:blipFill>
        <a:blip r:embed="rId1"/>
        <a:srcRect l="18700" t="11476" r="27235" b="35081"/>
        <a:stretch>
          <a:fillRect/>
        </a:stretch>
      </xdr:blipFill>
      <xdr:spPr>
        <a:xfrm>
          <a:off x="6387465" y="1131570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17</xdr:row>
      <xdr:rowOff>182880</xdr:rowOff>
    </xdr:from>
    <xdr:to>
      <xdr:col>8</xdr:col>
      <xdr:colOff>495300</xdr:colOff>
      <xdr:row>17</xdr:row>
      <xdr:rowOff>182880</xdr:rowOff>
    </xdr:to>
    <xdr:pic>
      <xdr:nvPicPr>
        <xdr:cNvPr id="32" name="Picture 14"/>
        <xdr:cNvPicPr>
          <a:picLocks noChangeAspect="1" noChangeArrowheads="1"/>
        </xdr:cNvPicPr>
      </xdr:nvPicPr>
      <xdr:blipFill>
        <a:blip r:embed="rId2"/>
        <a:srcRect l="15625" t="10121" r="30803" b="34009"/>
        <a:stretch>
          <a:fillRect/>
        </a:stretch>
      </xdr:blipFill>
      <xdr:spPr>
        <a:xfrm>
          <a:off x="6368415" y="1695958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12</xdr:row>
      <xdr:rowOff>0</xdr:rowOff>
    </xdr:from>
    <xdr:to>
      <xdr:col>8</xdr:col>
      <xdr:colOff>647700</xdr:colOff>
      <xdr:row>12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3"/>
        <a:srcRect l="5930" t="21608" r="3346" b="42627"/>
        <a:stretch>
          <a:fillRect/>
        </a:stretch>
      </xdr:blipFill>
      <xdr:spPr>
        <a:xfrm>
          <a:off x="6273165" y="11315700"/>
          <a:ext cx="5619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32758</xdr:colOff>
      <xdr:row>20</xdr:row>
      <xdr:rowOff>180976</xdr:rowOff>
    </xdr:from>
    <xdr:to>
      <xdr:col>8</xdr:col>
      <xdr:colOff>986528</xdr:colOff>
      <xdr:row>20</xdr:row>
      <xdr:rowOff>1028701</xdr:rowOff>
    </xdr:to>
    <xdr:pic>
      <xdr:nvPicPr>
        <xdr:cNvPr id="35" name="Picture 13" descr="C:\Users\ADMINI~1\AppData\Local\Temp\企业微信截图_1661415759806.pn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6219825" y="20234275"/>
          <a:ext cx="953770" cy="847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1</xdr:row>
      <xdr:rowOff>123825</xdr:rowOff>
    </xdr:from>
    <xdr:to>
      <xdr:col>7</xdr:col>
      <xdr:colOff>76200</xdr:colOff>
      <xdr:row>1</xdr:row>
      <xdr:rowOff>182880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5408295" y="669925"/>
          <a:ext cx="47625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</xdr:colOff>
      <xdr:row>1</xdr:row>
      <xdr:rowOff>123825</xdr:rowOff>
    </xdr:from>
    <xdr:to>
      <xdr:col>3</xdr:col>
      <xdr:colOff>85725</xdr:colOff>
      <xdr:row>1</xdr:row>
      <xdr:rowOff>182880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5075" y="669925"/>
          <a:ext cx="57150" cy="590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40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41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285750</xdr:colOff>
      <xdr:row>12</xdr:row>
      <xdr:rowOff>76200</xdr:rowOff>
    </xdr:to>
    <xdr:sp>
      <xdr:nvSpPr>
        <xdr:cNvPr id="42" name="AutoShape 4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14675" y="1131570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57150</xdr:colOff>
      <xdr:row>12</xdr:row>
      <xdr:rowOff>19050</xdr:rowOff>
    </xdr:from>
    <xdr:to>
      <xdr:col>4</xdr:col>
      <xdr:colOff>314325</xdr:colOff>
      <xdr:row>12</xdr:row>
      <xdr:rowOff>95250</xdr:rowOff>
    </xdr:to>
    <xdr:sp>
      <xdr:nvSpPr>
        <xdr:cNvPr id="43" name="AutoShape 5" descr="C:\Users\lenovo\AppData\Roaming\Tencent\Users\1690916448\QQ\WinTemp\RichOle\KP5F[~4Y9W8KI]A6]D6G.jpg"/>
        <xdr:cNvSpPr>
          <a:spLocks noChangeAspect="1" noChangeArrowheads="1"/>
        </xdr:cNvSpPr>
      </xdr:nvSpPr>
      <xdr:spPr>
        <a:xfrm>
          <a:off x="3143250" y="11334750"/>
          <a:ext cx="2571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200025</xdr:colOff>
      <xdr:row>12</xdr:row>
      <xdr:rowOff>0</xdr:rowOff>
    </xdr:from>
    <xdr:to>
      <xdr:col>8</xdr:col>
      <xdr:colOff>514350</xdr:colOff>
      <xdr:row>12</xdr:row>
      <xdr:rowOff>0</xdr:rowOff>
    </xdr:to>
    <xdr:pic>
      <xdr:nvPicPr>
        <xdr:cNvPr id="44" name="Picture 16"/>
        <xdr:cNvPicPr>
          <a:picLocks noChangeAspect="1" noChangeArrowheads="1"/>
        </xdr:cNvPicPr>
      </xdr:nvPicPr>
      <xdr:blipFill>
        <a:blip r:embed="rId1"/>
        <a:srcRect l="18700" t="11476" r="27235" b="35081"/>
        <a:stretch>
          <a:fillRect/>
        </a:stretch>
      </xdr:blipFill>
      <xdr:spPr>
        <a:xfrm>
          <a:off x="6387465" y="1131570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17</xdr:row>
      <xdr:rowOff>182880</xdr:rowOff>
    </xdr:from>
    <xdr:to>
      <xdr:col>8</xdr:col>
      <xdr:colOff>495300</xdr:colOff>
      <xdr:row>17</xdr:row>
      <xdr:rowOff>182880</xdr:rowOff>
    </xdr:to>
    <xdr:pic>
      <xdr:nvPicPr>
        <xdr:cNvPr id="45" name="Picture 14"/>
        <xdr:cNvPicPr>
          <a:picLocks noChangeAspect="1" noChangeArrowheads="1"/>
        </xdr:cNvPicPr>
      </xdr:nvPicPr>
      <xdr:blipFill>
        <a:blip r:embed="rId2"/>
        <a:srcRect l="15625" t="10121" r="30803" b="34009"/>
        <a:stretch>
          <a:fillRect/>
        </a:stretch>
      </xdr:blipFill>
      <xdr:spPr>
        <a:xfrm>
          <a:off x="6368415" y="16959580"/>
          <a:ext cx="3143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12</xdr:row>
      <xdr:rowOff>0</xdr:rowOff>
    </xdr:from>
    <xdr:to>
      <xdr:col>8</xdr:col>
      <xdr:colOff>647700</xdr:colOff>
      <xdr:row>12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r:embed="rId3"/>
        <a:srcRect l="5930" t="21608" r="3346" b="42627"/>
        <a:stretch>
          <a:fillRect/>
        </a:stretch>
      </xdr:blipFill>
      <xdr:spPr>
        <a:xfrm>
          <a:off x="6273165" y="11315700"/>
          <a:ext cx="5619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8" sqref="H7:H8"/>
    </sheetView>
  </sheetViews>
  <sheetFormatPr defaultColWidth="21.8981481481481" defaultRowHeight="42" customHeight="1" outlineLevelCol="4"/>
  <cols>
    <col min="1" max="1" width="14.4444444444444" customWidth="1"/>
    <col min="2" max="2" width="29" customWidth="1"/>
    <col min="3" max="3" width="23" customWidth="1"/>
    <col min="4" max="16384" width="21.8981481481481" customWidth="1"/>
  </cols>
  <sheetData>
    <row r="1" customHeight="1" spans="1:5">
      <c r="A1" s="116" t="s">
        <v>0</v>
      </c>
      <c r="B1" s="116"/>
      <c r="C1" s="116"/>
      <c r="D1" s="116"/>
      <c r="E1" s="116"/>
    </row>
    <row r="2" customHeight="1" spans="1:5">
      <c r="A2" s="117" t="s">
        <v>1</v>
      </c>
      <c r="B2" s="117" t="s">
        <v>2</v>
      </c>
      <c r="C2" s="118" t="s">
        <v>3</v>
      </c>
      <c r="D2" s="117" t="s">
        <v>4</v>
      </c>
      <c r="E2" s="117" t="s">
        <v>5</v>
      </c>
    </row>
    <row r="3" customHeight="1" spans="1:5">
      <c r="A3" s="119">
        <v>1</v>
      </c>
      <c r="B3" s="119" t="s">
        <v>6</v>
      </c>
      <c r="C3" s="120">
        <f>主厨房!G48</f>
        <v>0</v>
      </c>
      <c r="D3" s="121">
        <v>0.13</v>
      </c>
      <c r="E3" s="119"/>
    </row>
    <row r="4" customHeight="1" spans="1:5">
      <c r="A4" s="119">
        <v>2</v>
      </c>
      <c r="B4" s="119" t="s">
        <v>7</v>
      </c>
      <c r="C4" s="120">
        <f>二楼后备餐间!G11</f>
        <v>0</v>
      </c>
      <c r="D4" s="121">
        <v>0.13</v>
      </c>
      <c r="E4" s="119"/>
    </row>
    <row r="5" customHeight="1" spans="1:5">
      <c r="A5" s="119">
        <v>3</v>
      </c>
      <c r="B5" s="119" t="s">
        <v>8</v>
      </c>
      <c r="C5" s="120">
        <f>二楼前备餐间!G15</f>
        <v>0</v>
      </c>
      <c r="D5" s="121">
        <v>0.13</v>
      </c>
      <c r="E5" s="119"/>
    </row>
    <row r="6" customHeight="1" spans="1:5">
      <c r="A6" s="119">
        <v>4</v>
      </c>
      <c r="B6" s="119" t="s">
        <v>9</v>
      </c>
      <c r="C6" s="120">
        <f>三楼VIP备餐间!G24</f>
        <v>0</v>
      </c>
      <c r="D6" s="121">
        <v>0.13</v>
      </c>
      <c r="E6" s="119"/>
    </row>
    <row r="7" customHeight="1" spans="1:5">
      <c r="A7" s="119">
        <v>5</v>
      </c>
      <c r="B7" s="119" t="s">
        <v>10</v>
      </c>
      <c r="C7" s="120">
        <f>不锈钢刀叉!I12</f>
        <v>0</v>
      </c>
      <c r="D7" s="121">
        <v>0.13</v>
      </c>
      <c r="E7" s="119"/>
    </row>
    <row r="8" customHeight="1" spans="1:5">
      <c r="A8" s="119">
        <v>6</v>
      </c>
      <c r="B8" s="119" t="s">
        <v>11</v>
      </c>
      <c r="C8" s="120">
        <f>玻璃器皿!H24</f>
        <v>0</v>
      </c>
      <c r="D8" s="121">
        <v>0.13</v>
      </c>
      <c r="E8" s="119"/>
    </row>
    <row r="9" customHeight="1" spans="1:5">
      <c r="A9" s="119" t="s">
        <v>12</v>
      </c>
      <c r="B9" s="119"/>
      <c r="C9" s="120">
        <f>SUM(C3:C8)</f>
        <v>0</v>
      </c>
      <c r="D9" s="121">
        <v>0.13</v>
      </c>
      <c r="E9" s="119"/>
    </row>
    <row r="10" ht="81" customHeight="1" spans="1:5">
      <c r="A10" s="122" t="s">
        <v>13</v>
      </c>
      <c r="B10" s="123"/>
      <c r="C10" s="123"/>
      <c r="D10" s="123"/>
      <c r="E10" s="123"/>
    </row>
  </sheetData>
  <mergeCells count="2">
    <mergeCell ref="A1:E1"/>
    <mergeCell ref="A10:E10"/>
  </mergeCells>
  <pageMargins left="0.75" right="0.75" top="1" bottom="1" header="0.5" footer="0.5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xSplit="1" ySplit="2" topLeftCell="B40" activePane="bottomRight" state="frozen"/>
      <selection/>
      <selection pane="topRight"/>
      <selection pane="bottomLeft"/>
      <selection pane="bottomRight" activeCell="N44" sqref="N44"/>
    </sheetView>
  </sheetViews>
  <sheetFormatPr defaultColWidth="9" defaultRowHeight="14.4"/>
  <cols>
    <col min="1" max="1" width="9" style="61"/>
    <col min="2" max="3" width="22.1018518518519" style="59" customWidth="1"/>
    <col min="4" max="5" width="14.1018518518519" style="61" customWidth="1"/>
    <col min="6" max="7" width="14.1018518518519" style="109" customWidth="1"/>
    <col min="8" max="8" width="22.1018518518519" style="61" customWidth="1"/>
    <col min="9" max="9" width="22.1018518518519" style="59" customWidth="1"/>
    <col min="10" max="10" width="19.8981481481481" style="61" customWidth="1"/>
    <col min="11" max="16384" width="9" style="59"/>
  </cols>
  <sheetData>
    <row r="1" ht="40" customHeight="1" spans="1:11">
      <c r="A1" s="62" t="s">
        <v>14</v>
      </c>
      <c r="B1" s="62"/>
      <c r="C1" s="62"/>
      <c r="D1" s="62"/>
      <c r="E1" s="62"/>
      <c r="F1" s="63"/>
      <c r="G1" s="63"/>
      <c r="H1" s="62"/>
      <c r="I1" s="62"/>
      <c r="J1" s="62"/>
      <c r="K1" s="97"/>
    </row>
    <row r="2" ht="30" customHeight="1" spans="1:9">
      <c r="A2" s="64" t="s">
        <v>1</v>
      </c>
      <c r="B2" s="64" t="s">
        <v>15</v>
      </c>
      <c r="C2" s="64" t="s">
        <v>16</v>
      </c>
      <c r="D2" s="64" t="s">
        <v>17</v>
      </c>
      <c r="E2" s="64" t="s">
        <v>18</v>
      </c>
      <c r="F2" s="65" t="s">
        <v>19</v>
      </c>
      <c r="G2" s="65" t="s">
        <v>20</v>
      </c>
      <c r="H2" s="64" t="s">
        <v>21</v>
      </c>
      <c r="I2" s="64" t="s">
        <v>22</v>
      </c>
    </row>
    <row r="3" ht="74" customHeight="1" spans="1:9">
      <c r="A3" s="66">
        <v>1</v>
      </c>
      <c r="B3" s="67" t="s">
        <v>23</v>
      </c>
      <c r="C3" s="68" t="s">
        <v>24</v>
      </c>
      <c r="D3" s="69" t="s">
        <v>25</v>
      </c>
      <c r="E3" s="70">
        <v>3</v>
      </c>
      <c r="F3" s="77"/>
      <c r="G3" s="77">
        <f t="shared" ref="G3:G17" si="0">F3*E3</f>
        <v>0</v>
      </c>
      <c r="H3" s="67" t="s">
        <v>26</v>
      </c>
      <c r="I3" s="72" t="str">
        <f>_xlfn.DISPIMG("ID_068D465FC72744979117D3F695CED9FE",1)</f>
        <v>=DISPIMG("ID_068D465FC72744979117D3F695CED9FE",1)</v>
      </c>
    </row>
    <row r="4" ht="74" customHeight="1" spans="1:9">
      <c r="A4" s="66">
        <v>2</v>
      </c>
      <c r="B4" s="67" t="s">
        <v>27</v>
      </c>
      <c r="C4" s="68" t="s">
        <v>28</v>
      </c>
      <c r="D4" s="69" t="s">
        <v>25</v>
      </c>
      <c r="E4" s="70">
        <v>1</v>
      </c>
      <c r="F4" s="77"/>
      <c r="G4" s="77">
        <f t="shared" si="0"/>
        <v>0</v>
      </c>
      <c r="H4" s="67" t="s">
        <v>26</v>
      </c>
      <c r="I4" s="72" t="str">
        <f>_xlfn.DISPIMG("ID_F926E122734648898114AB6675EE1BD0",1)</f>
        <v>=DISPIMG("ID_F926E122734648898114AB6675EE1BD0",1)</v>
      </c>
    </row>
    <row r="5" ht="74" customHeight="1" spans="1:9">
      <c r="A5" s="66">
        <v>3</v>
      </c>
      <c r="B5" s="67" t="s">
        <v>29</v>
      </c>
      <c r="C5" s="68" t="s">
        <v>30</v>
      </c>
      <c r="D5" s="69" t="s">
        <v>31</v>
      </c>
      <c r="E5" s="70">
        <v>2</v>
      </c>
      <c r="F5" s="77"/>
      <c r="G5" s="77">
        <f t="shared" si="0"/>
        <v>0</v>
      </c>
      <c r="H5" s="67" t="s">
        <v>32</v>
      </c>
      <c r="I5" s="72" t="str">
        <f>_xlfn.DISPIMG("ID_46C9CA79456E4186ADFE566C9645C08A",1)</f>
        <v>=DISPIMG("ID_46C9CA79456E4186ADFE566C9645C08A",1)</v>
      </c>
    </row>
    <row r="6" ht="74" customHeight="1" spans="1:9">
      <c r="A6" s="66">
        <v>4</v>
      </c>
      <c r="B6" s="67" t="s">
        <v>33</v>
      </c>
      <c r="C6" s="68" t="s">
        <v>30</v>
      </c>
      <c r="D6" s="69" t="s">
        <v>31</v>
      </c>
      <c r="E6" s="70">
        <v>1</v>
      </c>
      <c r="F6" s="77"/>
      <c r="G6" s="77">
        <f t="shared" si="0"/>
        <v>0</v>
      </c>
      <c r="H6" s="67" t="s">
        <v>32</v>
      </c>
      <c r="I6" s="72" t="str">
        <f>_xlfn.DISPIMG("ID_8CE41AEDB61540E6919B6EE1FEF58588",1)</f>
        <v>=DISPIMG("ID_8CE41AEDB61540E6919B6EE1FEF58588",1)</v>
      </c>
    </row>
    <row r="7" ht="74" customHeight="1" spans="1:9">
      <c r="A7" s="66">
        <v>5</v>
      </c>
      <c r="B7" s="67" t="s">
        <v>34</v>
      </c>
      <c r="C7" s="68" t="s">
        <v>30</v>
      </c>
      <c r="D7" s="69" t="s">
        <v>31</v>
      </c>
      <c r="E7" s="70">
        <v>2</v>
      </c>
      <c r="F7" s="77"/>
      <c r="G7" s="77">
        <f t="shared" si="0"/>
        <v>0</v>
      </c>
      <c r="H7" s="67" t="s">
        <v>32</v>
      </c>
      <c r="I7" s="72" t="str">
        <f>_xlfn.DISPIMG("ID_42A6338059804A6F81E9B1124600AA60",1)</f>
        <v>=DISPIMG("ID_42A6338059804A6F81E9B1124600AA60",1)</v>
      </c>
    </row>
    <row r="8" ht="74" customHeight="1" spans="1:9">
      <c r="A8" s="66">
        <v>6</v>
      </c>
      <c r="B8" s="75" t="s">
        <v>35</v>
      </c>
      <c r="C8" s="91" t="s">
        <v>36</v>
      </c>
      <c r="D8" s="69" t="s">
        <v>37</v>
      </c>
      <c r="E8" s="70">
        <v>10</v>
      </c>
      <c r="F8" s="77"/>
      <c r="G8" s="77">
        <f t="shared" si="0"/>
        <v>0</v>
      </c>
      <c r="H8" s="67" t="s">
        <v>38</v>
      </c>
      <c r="I8" s="72" t="str">
        <f>_xlfn.DISPIMG("ID_59429BEFAB6B469793C561065C01127C",1)</f>
        <v>=DISPIMG("ID_59429BEFAB6B469793C561065C01127C",1)</v>
      </c>
    </row>
    <row r="9" ht="74" customHeight="1" spans="1:9">
      <c r="A9" s="66">
        <v>7</v>
      </c>
      <c r="B9" s="99" t="s">
        <v>39</v>
      </c>
      <c r="C9" s="71" t="s">
        <v>40</v>
      </c>
      <c r="D9" s="72" t="s">
        <v>37</v>
      </c>
      <c r="E9" s="73">
        <v>120</v>
      </c>
      <c r="F9" s="77"/>
      <c r="G9" s="77">
        <f t="shared" si="0"/>
        <v>0</v>
      </c>
      <c r="H9" s="68" t="s">
        <v>41</v>
      </c>
      <c r="I9" s="68" t="str">
        <f>_xlfn.DISPIMG("ID_64F11E7743DC4465A50C6A6344ED4FDF",1)</f>
        <v>=DISPIMG("ID_64F11E7743DC4465A50C6A6344ED4FDF",1)</v>
      </c>
    </row>
    <row r="10" ht="74" customHeight="1" spans="1:9">
      <c r="A10" s="66">
        <v>8</v>
      </c>
      <c r="B10" s="67" t="s">
        <v>42</v>
      </c>
      <c r="C10" s="72" t="s">
        <v>43</v>
      </c>
      <c r="D10" s="69" t="s">
        <v>37</v>
      </c>
      <c r="E10" s="70">
        <v>50</v>
      </c>
      <c r="F10" s="77"/>
      <c r="G10" s="77">
        <f t="shared" si="0"/>
        <v>0</v>
      </c>
      <c r="H10" s="67" t="s">
        <v>26</v>
      </c>
      <c r="I10" s="72" t="str">
        <f>_xlfn.DISPIMG("ID_4154D6A0A2B349DE8BE318957EAE0505",1)</f>
        <v>=DISPIMG("ID_4154D6A0A2B349DE8BE318957EAE0505",1)</v>
      </c>
    </row>
    <row r="11" ht="74" customHeight="1" spans="1:9">
      <c r="A11" s="66">
        <v>9</v>
      </c>
      <c r="B11" s="99" t="s">
        <v>39</v>
      </c>
      <c r="C11" s="71" t="s">
        <v>44</v>
      </c>
      <c r="D11" s="72" t="s">
        <v>37</v>
      </c>
      <c r="E11" s="73">
        <v>20</v>
      </c>
      <c r="F11" s="77"/>
      <c r="G11" s="77">
        <f t="shared" si="0"/>
        <v>0</v>
      </c>
      <c r="H11" s="68" t="s">
        <v>41</v>
      </c>
      <c r="I11" s="68" t="str">
        <f>_xlfn.DISPIMG("ID_DBF781CBB0E54027989BE4B3BCDE4BFC",1)</f>
        <v>=DISPIMG("ID_DBF781CBB0E54027989BE4B3BCDE4BFC",1)</v>
      </c>
    </row>
    <row r="12" ht="74" customHeight="1" spans="1:9">
      <c r="A12" s="66">
        <v>10</v>
      </c>
      <c r="B12" s="99" t="s">
        <v>45</v>
      </c>
      <c r="C12" s="71" t="s">
        <v>46</v>
      </c>
      <c r="D12" s="72" t="s">
        <v>37</v>
      </c>
      <c r="E12" s="73">
        <v>20</v>
      </c>
      <c r="F12" s="77"/>
      <c r="G12" s="77">
        <f t="shared" si="0"/>
        <v>0</v>
      </c>
      <c r="H12" s="68" t="s">
        <v>26</v>
      </c>
      <c r="I12" s="101" t="str">
        <f>_xlfn.DISPIMG("ID_10197687E18C4332BA75735C1F79382C",1)</f>
        <v>=DISPIMG("ID_10197687E18C4332BA75735C1F79382C",1)</v>
      </c>
    </row>
    <row r="13" ht="74" customHeight="1" spans="1:9">
      <c r="A13" s="66">
        <v>11</v>
      </c>
      <c r="B13" s="99" t="s">
        <v>47</v>
      </c>
      <c r="C13" s="71" t="s">
        <v>48</v>
      </c>
      <c r="D13" s="72" t="s">
        <v>37</v>
      </c>
      <c r="E13" s="73">
        <v>2</v>
      </c>
      <c r="F13" s="77"/>
      <c r="G13" s="77">
        <f t="shared" si="0"/>
        <v>0</v>
      </c>
      <c r="H13" s="68" t="s">
        <v>26</v>
      </c>
      <c r="I13" s="101" t="str">
        <f>_xlfn.DISPIMG("ID_24A853D6C3694A5FBD3757775EA336D4",1)</f>
        <v>=DISPIMG("ID_24A853D6C3694A5FBD3757775EA336D4",1)</v>
      </c>
    </row>
    <row r="14" ht="74" customHeight="1" spans="1:9">
      <c r="A14" s="66">
        <v>12</v>
      </c>
      <c r="B14" s="99" t="s">
        <v>49</v>
      </c>
      <c r="C14" s="71" t="s">
        <v>50</v>
      </c>
      <c r="D14" s="72" t="s">
        <v>37</v>
      </c>
      <c r="E14" s="73">
        <v>50</v>
      </c>
      <c r="F14" s="77"/>
      <c r="G14" s="77">
        <f t="shared" si="0"/>
        <v>0</v>
      </c>
      <c r="H14" s="68" t="s">
        <v>26</v>
      </c>
      <c r="I14" s="101" t="str">
        <f>_xlfn.DISPIMG("ID_90DE2121E89541E58A62C00783978795",1)</f>
        <v>=DISPIMG("ID_90DE2121E89541E58A62C00783978795",1)</v>
      </c>
    </row>
    <row r="15" ht="74" customHeight="1" spans="1:9">
      <c r="A15" s="66">
        <v>13</v>
      </c>
      <c r="B15" s="99" t="s">
        <v>51</v>
      </c>
      <c r="C15" s="71" t="s">
        <v>52</v>
      </c>
      <c r="D15" s="72" t="s">
        <v>25</v>
      </c>
      <c r="E15" s="73">
        <v>4</v>
      </c>
      <c r="F15" s="77"/>
      <c r="G15" s="77">
        <f t="shared" si="0"/>
        <v>0</v>
      </c>
      <c r="H15" s="68" t="s">
        <v>26</v>
      </c>
      <c r="I15" s="101" t="str">
        <f>_xlfn.DISPIMG("ID_9057A8F1B45F435A9D7FCCCB61296BC1",1)</f>
        <v>=DISPIMG("ID_9057A8F1B45F435A9D7FCCCB61296BC1",1)</v>
      </c>
    </row>
    <row r="16" ht="74" customHeight="1" spans="1:9">
      <c r="A16" s="66">
        <v>14</v>
      </c>
      <c r="B16" s="99" t="s">
        <v>53</v>
      </c>
      <c r="C16" s="71" t="s">
        <v>54</v>
      </c>
      <c r="D16" s="72" t="s">
        <v>37</v>
      </c>
      <c r="E16" s="73">
        <v>10</v>
      </c>
      <c r="F16" s="77"/>
      <c r="G16" s="77">
        <f t="shared" si="0"/>
        <v>0</v>
      </c>
      <c r="H16" s="68" t="s">
        <v>26</v>
      </c>
      <c r="I16" s="102" t="str">
        <f>_xlfn.DISPIMG("ID_AD683A1243924D24A9BC664311566C13",1)</f>
        <v>=DISPIMG("ID_AD683A1243924D24A9BC664311566C13",1)</v>
      </c>
    </row>
    <row r="17" ht="74" customHeight="1" spans="1:9">
      <c r="A17" s="66">
        <v>15</v>
      </c>
      <c r="B17" s="99" t="s">
        <v>55</v>
      </c>
      <c r="C17" s="71" t="s">
        <v>56</v>
      </c>
      <c r="D17" s="72" t="s">
        <v>25</v>
      </c>
      <c r="E17" s="73">
        <v>4</v>
      </c>
      <c r="F17" s="77"/>
      <c r="G17" s="77">
        <f t="shared" si="0"/>
        <v>0</v>
      </c>
      <c r="H17" s="68" t="s">
        <v>57</v>
      </c>
      <c r="I17" s="102" t="str">
        <f>_xlfn.DISPIMG("ID_7062E841831F489B9CE9A8C942954EBD",1)</f>
        <v>=DISPIMG("ID_7062E841831F489B9CE9A8C942954EBD",1)</v>
      </c>
    </row>
    <row r="18" ht="74" customHeight="1" spans="1:9">
      <c r="A18" s="66">
        <v>17</v>
      </c>
      <c r="B18" s="81" t="s">
        <v>58</v>
      </c>
      <c r="C18" s="91" t="s">
        <v>59</v>
      </c>
      <c r="D18" s="66" t="s">
        <v>37</v>
      </c>
      <c r="E18" s="66">
        <v>30</v>
      </c>
      <c r="F18" s="77"/>
      <c r="G18" s="77">
        <f t="shared" ref="G18:G50" si="1">F18*E18</f>
        <v>0</v>
      </c>
      <c r="H18" s="81" t="s">
        <v>38</v>
      </c>
      <c r="I18" s="66" t="str">
        <f>_xlfn.DISPIMG("ID_8601C061D7EB445A879AF7FA627F2A58",1)</f>
        <v>=DISPIMG("ID_8601C061D7EB445A879AF7FA627F2A58",1)</v>
      </c>
    </row>
    <row r="19" ht="74" customHeight="1" spans="1:9">
      <c r="A19" s="66">
        <v>18</v>
      </c>
      <c r="B19" s="75" t="s">
        <v>60</v>
      </c>
      <c r="C19" s="91" t="s">
        <v>61</v>
      </c>
      <c r="D19" s="66" t="s">
        <v>62</v>
      </c>
      <c r="E19" s="66">
        <v>1</v>
      </c>
      <c r="F19" s="77"/>
      <c r="G19" s="77">
        <f t="shared" si="1"/>
        <v>0</v>
      </c>
      <c r="H19" s="75" t="s">
        <v>63</v>
      </c>
      <c r="I19" s="66" t="str">
        <f>_xlfn.DISPIMG("ID_26AF1769E4DE47F2A3B4DBFAD3724505",1)</f>
        <v>=DISPIMG("ID_26AF1769E4DE47F2A3B4DBFAD3724505",1)</v>
      </c>
    </row>
    <row r="20" ht="74" customHeight="1" spans="1:9">
      <c r="A20" s="66">
        <v>19</v>
      </c>
      <c r="B20" s="75" t="s">
        <v>64</v>
      </c>
      <c r="C20" s="91" t="s">
        <v>65</v>
      </c>
      <c r="D20" s="66" t="s">
        <v>25</v>
      </c>
      <c r="E20" s="66">
        <v>4</v>
      </c>
      <c r="F20" s="77"/>
      <c r="G20" s="77">
        <f t="shared" si="1"/>
        <v>0</v>
      </c>
      <c r="H20" s="110" t="s">
        <v>66</v>
      </c>
      <c r="I20" s="88" t="str">
        <f>_xlfn.DISPIMG("ID_6FE68819D2D74987964280D325B45F64",1)</f>
        <v>=DISPIMG("ID_6FE68819D2D74987964280D325B45F64",1)</v>
      </c>
    </row>
    <row r="21" ht="74" customHeight="1" spans="1:9">
      <c r="A21" s="66">
        <v>20</v>
      </c>
      <c r="B21" s="100" t="s">
        <v>67</v>
      </c>
      <c r="C21" s="82" t="s">
        <v>68</v>
      </c>
      <c r="D21" s="66" t="s">
        <v>25</v>
      </c>
      <c r="E21" s="66">
        <v>3</v>
      </c>
      <c r="F21" s="77"/>
      <c r="G21" s="77">
        <f t="shared" si="1"/>
        <v>0</v>
      </c>
      <c r="H21" s="82" t="s">
        <v>69</v>
      </c>
      <c r="I21" s="88" t="str">
        <f>_xlfn.DISPIMG("ID_7C1391F94C1442EAB24B46FD4C045D21",1)</f>
        <v>=DISPIMG("ID_7C1391F94C1442EAB24B46FD4C045D21",1)</v>
      </c>
    </row>
    <row r="22" ht="74" customHeight="1" spans="1:9">
      <c r="A22" s="66">
        <v>21</v>
      </c>
      <c r="B22" s="111" t="s">
        <v>70</v>
      </c>
      <c r="C22" s="112" t="s">
        <v>71</v>
      </c>
      <c r="D22" s="66" t="s">
        <v>37</v>
      </c>
      <c r="E22" s="66">
        <v>2</v>
      </c>
      <c r="F22" s="77"/>
      <c r="G22" s="77">
        <f t="shared" si="1"/>
        <v>0</v>
      </c>
      <c r="H22" s="112" t="s">
        <v>69</v>
      </c>
      <c r="I22" s="88"/>
    </row>
    <row r="23" ht="74" customHeight="1" spans="1:9">
      <c r="A23" s="66">
        <v>22</v>
      </c>
      <c r="B23" s="75" t="s">
        <v>72</v>
      </c>
      <c r="C23" s="91" t="s">
        <v>73</v>
      </c>
      <c r="D23" s="66" t="s">
        <v>37</v>
      </c>
      <c r="E23" s="66">
        <v>2</v>
      </c>
      <c r="F23" s="77"/>
      <c r="G23" s="77">
        <f t="shared" si="1"/>
        <v>0</v>
      </c>
      <c r="H23" s="75" t="s">
        <v>74</v>
      </c>
      <c r="I23" s="88" t="str">
        <f>_xlfn.DISPIMG("ID_0F768443797B4C19A7B0B715304BF8BF",1)</f>
        <v>=DISPIMG("ID_0F768443797B4C19A7B0B715304BF8BF",1)</v>
      </c>
    </row>
    <row r="24" ht="74" customHeight="1" spans="1:9">
      <c r="A24" s="66">
        <v>23</v>
      </c>
      <c r="B24" s="113" t="s">
        <v>75</v>
      </c>
      <c r="C24" s="87"/>
      <c r="D24" s="66" t="s">
        <v>37</v>
      </c>
      <c r="E24" s="66">
        <v>3</v>
      </c>
      <c r="F24" s="77"/>
      <c r="G24" s="77">
        <f t="shared" si="1"/>
        <v>0</v>
      </c>
      <c r="H24" s="66"/>
      <c r="I24" s="88" t="str">
        <f>_xlfn.DISPIMG("ID_6705732A72EE473BA30F13AB590BF857",1)</f>
        <v>=DISPIMG("ID_6705732A72EE473BA30F13AB590BF857",1)</v>
      </c>
    </row>
    <row r="25" ht="74" customHeight="1" spans="1:9">
      <c r="A25" s="66">
        <v>24</v>
      </c>
      <c r="B25" s="75" t="s">
        <v>76</v>
      </c>
      <c r="C25" s="87" t="s">
        <v>77</v>
      </c>
      <c r="D25" s="66" t="s">
        <v>78</v>
      </c>
      <c r="E25" s="66">
        <v>2</v>
      </c>
      <c r="F25" s="77"/>
      <c r="G25" s="77">
        <f t="shared" si="1"/>
        <v>0</v>
      </c>
      <c r="H25" s="66" t="s">
        <v>79</v>
      </c>
      <c r="I25" s="88"/>
    </row>
    <row r="26" ht="74" customHeight="1" spans="1:9">
      <c r="A26" s="66">
        <v>25</v>
      </c>
      <c r="B26" s="85" t="s">
        <v>80</v>
      </c>
      <c r="C26" s="90" t="s">
        <v>81</v>
      </c>
      <c r="D26" s="66" t="s">
        <v>37</v>
      </c>
      <c r="E26" s="66">
        <v>1</v>
      </c>
      <c r="F26" s="77"/>
      <c r="G26" s="77">
        <f t="shared" si="1"/>
        <v>0</v>
      </c>
      <c r="H26" s="66" t="s">
        <v>82</v>
      </c>
      <c r="I26" s="88"/>
    </row>
    <row r="27" ht="74" customHeight="1" spans="1:9">
      <c r="A27" s="66">
        <v>26</v>
      </c>
      <c r="B27" s="85" t="s">
        <v>83</v>
      </c>
      <c r="C27" s="90" t="s">
        <v>84</v>
      </c>
      <c r="D27" s="66" t="s">
        <v>62</v>
      </c>
      <c r="E27" s="66">
        <v>1</v>
      </c>
      <c r="F27" s="77"/>
      <c r="G27" s="77">
        <f t="shared" si="1"/>
        <v>0</v>
      </c>
      <c r="H27" s="90" t="s">
        <v>69</v>
      </c>
      <c r="I27" s="88" t="str">
        <f>_xlfn.DISPIMG("ID_C7AEADA791214C9D9C18AB6F1C048DF3",1)</f>
        <v>=DISPIMG("ID_C7AEADA791214C9D9C18AB6F1C048DF3",1)</v>
      </c>
    </row>
    <row r="28" ht="74" customHeight="1" spans="1:9">
      <c r="A28" s="66">
        <v>27</v>
      </c>
      <c r="B28" s="99" t="s">
        <v>85</v>
      </c>
      <c r="C28" s="71" t="s">
        <v>86</v>
      </c>
      <c r="D28" s="72" t="s">
        <v>37</v>
      </c>
      <c r="E28" s="73">
        <v>50</v>
      </c>
      <c r="F28" s="77"/>
      <c r="G28" s="77">
        <f t="shared" si="1"/>
        <v>0</v>
      </c>
      <c r="H28" s="68" t="s">
        <v>26</v>
      </c>
      <c r="I28" s="101" t="str">
        <f>_xlfn.DISPIMG("ID_B19EC29711A24F0BBF94ED2927214F39",1)</f>
        <v>=DISPIMG("ID_B19EC29711A24F0BBF94ED2927214F39",1)</v>
      </c>
    </row>
    <row r="29" ht="73" customHeight="1" spans="1:9">
      <c r="A29" s="66">
        <v>28</v>
      </c>
      <c r="B29" s="99" t="s">
        <v>87</v>
      </c>
      <c r="C29" s="71" t="s">
        <v>88</v>
      </c>
      <c r="D29" s="72" t="s">
        <v>25</v>
      </c>
      <c r="E29" s="73">
        <v>2</v>
      </c>
      <c r="F29" s="77"/>
      <c r="G29" s="77">
        <f t="shared" si="1"/>
        <v>0</v>
      </c>
      <c r="H29" s="68" t="s">
        <v>89</v>
      </c>
      <c r="I29" s="101" t="str">
        <f>_xlfn.DISPIMG("ID_984E4631E9094F5AB0790450F58BBBA4",1)</f>
        <v>=DISPIMG("ID_984E4631E9094F5AB0790450F58BBBA4",1)</v>
      </c>
    </row>
    <row r="30" ht="73" customHeight="1" spans="1:9">
      <c r="A30" s="66">
        <v>29</v>
      </c>
      <c r="B30" s="67" t="s">
        <v>90</v>
      </c>
      <c r="C30" s="68" t="s">
        <v>91</v>
      </c>
      <c r="D30" s="69" t="s">
        <v>92</v>
      </c>
      <c r="E30" s="70">
        <v>2</v>
      </c>
      <c r="F30" s="77"/>
      <c r="G30" s="77">
        <f t="shared" si="1"/>
        <v>0</v>
      </c>
      <c r="H30" s="67" t="s">
        <v>26</v>
      </c>
      <c r="I30" s="72" t="str">
        <f>_xlfn.DISPIMG("ID_375BAF88B12D4A2994697F36CB916DAA",1)</f>
        <v>=DISPIMG("ID_375BAF88B12D4A2994697F36CB916DAA",1)</v>
      </c>
    </row>
    <row r="31" ht="73" customHeight="1" spans="1:9">
      <c r="A31" s="66">
        <v>30</v>
      </c>
      <c r="B31" s="68" t="s">
        <v>93</v>
      </c>
      <c r="C31" s="71" t="s">
        <v>94</v>
      </c>
      <c r="D31" s="72" t="s">
        <v>62</v>
      </c>
      <c r="E31" s="73">
        <v>10</v>
      </c>
      <c r="F31" s="77"/>
      <c r="G31" s="77">
        <f t="shared" si="1"/>
        <v>0</v>
      </c>
      <c r="H31" s="68" t="s">
        <v>26</v>
      </c>
      <c r="I31" s="98" t="str">
        <f>_xlfn.DISPIMG("ID_FEBFAFDD4615474AAE7CB0AC05FE9045",1)</f>
        <v>=DISPIMG("ID_FEBFAFDD4615474AAE7CB0AC05FE9045",1)</v>
      </c>
    </row>
    <row r="32" ht="73" customHeight="1" spans="1:9">
      <c r="A32" s="66">
        <v>32</v>
      </c>
      <c r="B32" s="114" t="s">
        <v>95</v>
      </c>
      <c r="C32" s="114" t="s">
        <v>96</v>
      </c>
      <c r="D32" s="114" t="s">
        <v>37</v>
      </c>
      <c r="E32" s="114">
        <v>4</v>
      </c>
      <c r="F32" s="77"/>
      <c r="G32" s="77">
        <f t="shared" si="1"/>
        <v>0</v>
      </c>
      <c r="H32" s="68" t="s">
        <v>97</v>
      </c>
      <c r="I32" s="88" t="str">
        <f>_xlfn.DISPIMG("ID_35DCBF511AE3472593C44B94F053978C",1)</f>
        <v>=DISPIMG("ID_35DCBF511AE3472593C44B94F053978C",1)</v>
      </c>
    </row>
    <row r="33" ht="73" customHeight="1" spans="1:9">
      <c r="A33" s="66">
        <v>34</v>
      </c>
      <c r="B33" s="114" t="s">
        <v>98</v>
      </c>
      <c r="C33" s="114" t="s">
        <v>99</v>
      </c>
      <c r="D33" s="66" t="s">
        <v>37</v>
      </c>
      <c r="E33" s="66">
        <v>10</v>
      </c>
      <c r="F33" s="77"/>
      <c r="G33" s="77">
        <f t="shared" si="1"/>
        <v>0</v>
      </c>
      <c r="H33" s="68" t="s">
        <v>26</v>
      </c>
      <c r="I33" s="88" t="str">
        <f>_xlfn.DISPIMG("ID_BA8D062BF15D42419E0FDB71AB8085C2",1)</f>
        <v>=DISPIMG("ID_BA8D062BF15D42419E0FDB71AB8085C2",1)</v>
      </c>
    </row>
    <row r="34" ht="73" customHeight="1" spans="1:9">
      <c r="A34" s="66">
        <v>35</v>
      </c>
      <c r="B34" s="114" t="s">
        <v>100</v>
      </c>
      <c r="C34" s="114" t="s">
        <v>101</v>
      </c>
      <c r="D34" s="66" t="s">
        <v>25</v>
      </c>
      <c r="E34" s="66">
        <v>2</v>
      </c>
      <c r="F34" s="77"/>
      <c r="G34" s="77">
        <f t="shared" si="1"/>
        <v>0</v>
      </c>
      <c r="H34" s="68" t="s">
        <v>26</v>
      </c>
      <c r="I34" s="88" t="str">
        <f>_xlfn.DISPIMG("ID_2E9FB5CAAF4047EAAC8980C58F77F83C",1)</f>
        <v>=DISPIMG("ID_2E9FB5CAAF4047EAAC8980C58F77F83C",1)</v>
      </c>
    </row>
    <row r="35" ht="73" customHeight="1" spans="1:9">
      <c r="A35" s="66">
        <v>36</v>
      </c>
      <c r="B35" s="114" t="s">
        <v>102</v>
      </c>
      <c r="C35" s="114" t="s">
        <v>103</v>
      </c>
      <c r="D35" s="66" t="s">
        <v>37</v>
      </c>
      <c r="E35" s="66">
        <v>2</v>
      </c>
      <c r="F35" s="77"/>
      <c r="G35" s="77">
        <f t="shared" si="1"/>
        <v>0</v>
      </c>
      <c r="H35" s="90" t="s">
        <v>69</v>
      </c>
      <c r="I35" s="88" t="str">
        <f>_xlfn.DISPIMG("ID_50FFF1E98DD2430B96480DCC377CD9AE",1)</f>
        <v>=DISPIMG("ID_50FFF1E98DD2430B96480DCC377CD9AE",1)</v>
      </c>
    </row>
    <row r="36" ht="73" customHeight="1" spans="1:9">
      <c r="A36" s="66">
        <v>37</v>
      </c>
      <c r="B36" s="114" t="s">
        <v>104</v>
      </c>
      <c r="C36" s="114" t="s">
        <v>105</v>
      </c>
      <c r="D36" s="66" t="s">
        <v>37</v>
      </c>
      <c r="E36" s="66">
        <v>2</v>
      </c>
      <c r="F36" s="77"/>
      <c r="G36" s="77">
        <f t="shared" si="1"/>
        <v>0</v>
      </c>
      <c r="H36" s="90" t="s">
        <v>69</v>
      </c>
      <c r="I36" s="88" t="str">
        <f>_xlfn.DISPIMG("ID_A0F4F21228914B6CA426AE437FA57C63",1)</f>
        <v>=DISPIMG("ID_A0F4F21228914B6CA426AE437FA57C63",1)</v>
      </c>
    </row>
    <row r="37" ht="73" customHeight="1" spans="1:9">
      <c r="A37" s="66">
        <v>38</v>
      </c>
      <c r="B37" s="114" t="s">
        <v>106</v>
      </c>
      <c r="C37" s="114" t="s">
        <v>107</v>
      </c>
      <c r="D37" s="66" t="s">
        <v>25</v>
      </c>
      <c r="E37" s="66">
        <v>2</v>
      </c>
      <c r="F37" s="77"/>
      <c r="G37" s="77">
        <f t="shared" si="1"/>
        <v>0</v>
      </c>
      <c r="H37" s="68" t="s">
        <v>26</v>
      </c>
      <c r="I37" s="88" t="str">
        <f>_xlfn.DISPIMG("ID_B01FCB5AAE024C7EBC1BD97E042A8A08",1)</f>
        <v>=DISPIMG("ID_B01FCB5AAE024C7EBC1BD97E042A8A08",1)</v>
      </c>
    </row>
    <row r="38" ht="73" customHeight="1" spans="1:9">
      <c r="A38" s="66">
        <v>40</v>
      </c>
      <c r="B38" s="85" t="s">
        <v>108</v>
      </c>
      <c r="C38" s="87" t="s">
        <v>109</v>
      </c>
      <c r="D38" s="66" t="s">
        <v>37</v>
      </c>
      <c r="E38" s="66">
        <v>4</v>
      </c>
      <c r="F38" s="77"/>
      <c r="G38" s="77">
        <f t="shared" si="1"/>
        <v>0</v>
      </c>
      <c r="H38" s="66" t="s">
        <v>110</v>
      </c>
      <c r="I38" s="88" t="str">
        <f>_xlfn.DISPIMG("ID_D7A2F313C55D4512A00171EBFFC7DB8D",1)</f>
        <v>=DISPIMG("ID_D7A2F313C55D4512A00171EBFFC7DB8D",1)</v>
      </c>
    </row>
    <row r="39" ht="73" customHeight="1" spans="1:9">
      <c r="A39" s="66">
        <v>41</v>
      </c>
      <c r="B39" s="85" t="s">
        <v>111</v>
      </c>
      <c r="C39" s="88" t="s">
        <v>112</v>
      </c>
      <c r="D39" s="66" t="s">
        <v>25</v>
      </c>
      <c r="E39" s="66">
        <v>2</v>
      </c>
      <c r="F39" s="77"/>
      <c r="G39" s="77">
        <f t="shared" si="1"/>
        <v>0</v>
      </c>
      <c r="H39" s="66" t="s">
        <v>110</v>
      </c>
      <c r="I39" s="88"/>
    </row>
    <row r="40" ht="73" customHeight="1" spans="1:9">
      <c r="A40" s="66">
        <v>42</v>
      </c>
      <c r="B40" s="85" t="s">
        <v>113</v>
      </c>
      <c r="C40" s="88" t="s">
        <v>114</v>
      </c>
      <c r="D40" s="66" t="s">
        <v>115</v>
      </c>
      <c r="E40" s="66">
        <v>2</v>
      </c>
      <c r="F40" s="77"/>
      <c r="G40" s="77">
        <f t="shared" si="1"/>
        <v>0</v>
      </c>
      <c r="H40" s="66" t="s">
        <v>110</v>
      </c>
      <c r="I40" s="88"/>
    </row>
    <row r="41" ht="73" customHeight="1" spans="1:9">
      <c r="A41" s="66">
        <v>43</v>
      </c>
      <c r="B41" s="92" t="s">
        <v>116</v>
      </c>
      <c r="C41" s="87" t="s">
        <v>117</v>
      </c>
      <c r="D41" s="66" t="s">
        <v>25</v>
      </c>
      <c r="E41" s="66">
        <v>2</v>
      </c>
      <c r="F41" s="77"/>
      <c r="G41" s="77">
        <f t="shared" si="1"/>
        <v>0</v>
      </c>
      <c r="H41" s="66" t="s">
        <v>110</v>
      </c>
      <c r="I41" s="88"/>
    </row>
    <row r="42" ht="71" customHeight="1" spans="1:9">
      <c r="A42" s="66">
        <v>44</v>
      </c>
      <c r="B42" s="83" t="s">
        <v>118</v>
      </c>
      <c r="C42" s="87" t="s">
        <v>119</v>
      </c>
      <c r="D42" s="66" t="s">
        <v>37</v>
      </c>
      <c r="E42" s="66">
        <v>10</v>
      </c>
      <c r="F42" s="77"/>
      <c r="G42" s="77">
        <f t="shared" si="1"/>
        <v>0</v>
      </c>
      <c r="H42" s="78" t="s">
        <v>120</v>
      </c>
      <c r="I42" s="88"/>
    </row>
    <row r="43" ht="70" customHeight="1" spans="1:9">
      <c r="A43" s="66">
        <v>45</v>
      </c>
      <c r="B43" s="83" t="s">
        <v>121</v>
      </c>
      <c r="C43" s="88" t="s">
        <v>122</v>
      </c>
      <c r="D43" s="66" t="s">
        <v>37</v>
      </c>
      <c r="E43" s="66">
        <v>2</v>
      </c>
      <c r="F43" s="77"/>
      <c r="G43" s="77">
        <f t="shared" si="1"/>
        <v>0</v>
      </c>
      <c r="H43" s="66" t="s">
        <v>110</v>
      </c>
      <c r="I43" s="88" t="str">
        <f>_xlfn.DISPIMG("ID_4CCFC45F0A6340CF9C76D1ECB06AF6A7",1)</f>
        <v>=DISPIMG("ID_4CCFC45F0A6340CF9C76D1ECB06AF6A7",1)</v>
      </c>
    </row>
    <row r="44" ht="71" customHeight="1" spans="1:9">
      <c r="A44" s="66">
        <v>46</v>
      </c>
      <c r="B44" s="92" t="s">
        <v>123</v>
      </c>
      <c r="C44" s="93" t="s">
        <v>124</v>
      </c>
      <c r="D44" s="66" t="s">
        <v>37</v>
      </c>
      <c r="E44" s="66">
        <v>20</v>
      </c>
      <c r="F44" s="77"/>
      <c r="G44" s="77">
        <f t="shared" si="1"/>
        <v>0</v>
      </c>
      <c r="H44" s="93" t="s">
        <v>125</v>
      </c>
      <c r="I44" s="88" t="str">
        <f>_xlfn.DISPIMG("ID_E195E40D693A41ECB003D84F13E775EF",1)</f>
        <v>=DISPIMG("ID_E195E40D693A41ECB003D84F13E775EF",1)</v>
      </c>
    </row>
    <row r="45" ht="73" customHeight="1" spans="1:9">
      <c r="A45" s="66">
        <v>47</v>
      </c>
      <c r="B45" s="92" t="s">
        <v>126</v>
      </c>
      <c r="C45" s="115" t="s">
        <v>127</v>
      </c>
      <c r="D45" s="66" t="s">
        <v>37</v>
      </c>
      <c r="E45" s="66">
        <v>1</v>
      </c>
      <c r="F45" s="77"/>
      <c r="G45" s="77">
        <f t="shared" si="1"/>
        <v>0</v>
      </c>
      <c r="H45" s="66" t="s">
        <v>110</v>
      </c>
      <c r="I45" s="88" t="str">
        <f>_xlfn.DISPIMG("ID_01D1B6928DEF4FE28E8506F95B335226",1)</f>
        <v>=DISPIMG("ID_01D1B6928DEF4FE28E8506F95B335226",1)</v>
      </c>
    </row>
    <row r="46" ht="72" customHeight="1" spans="1:9">
      <c r="A46" s="66">
        <v>48</v>
      </c>
      <c r="B46" s="92" t="s">
        <v>128</v>
      </c>
      <c r="C46" s="93" t="s">
        <v>129</v>
      </c>
      <c r="D46" s="66" t="s">
        <v>78</v>
      </c>
      <c r="E46" s="66">
        <v>2</v>
      </c>
      <c r="F46" s="77"/>
      <c r="G46" s="77">
        <f t="shared" si="1"/>
        <v>0</v>
      </c>
      <c r="H46" s="68" t="s">
        <v>26</v>
      </c>
      <c r="I46" s="88"/>
    </row>
    <row r="47" ht="71" customHeight="1" spans="1:9">
      <c r="A47" s="66">
        <v>49</v>
      </c>
      <c r="B47" s="92" t="s">
        <v>130</v>
      </c>
      <c r="C47" s="93" t="s">
        <v>131</v>
      </c>
      <c r="D47" s="66" t="s">
        <v>132</v>
      </c>
      <c r="E47" s="66">
        <v>10</v>
      </c>
      <c r="F47" s="77"/>
      <c r="G47" s="77">
        <f t="shared" si="1"/>
        <v>0</v>
      </c>
      <c r="H47" s="68" t="s">
        <v>26</v>
      </c>
      <c r="I47" s="93" t="str">
        <f>_xlfn.DISPIMG("ID_88AB773D171343E0B0D790DB1B971F87",1)</f>
        <v>=DISPIMG("ID_88AB773D171343E0B0D790DB1B971F87",1)</v>
      </c>
    </row>
    <row r="48" ht="37" customHeight="1" spans="1:9">
      <c r="A48" s="66" t="s">
        <v>133</v>
      </c>
      <c r="B48" s="66"/>
      <c r="C48" s="66"/>
      <c r="D48" s="66"/>
      <c r="E48" s="66"/>
      <c r="F48" s="77"/>
      <c r="G48" s="77">
        <f>SUM(G3:G47)</f>
        <v>0</v>
      </c>
      <c r="H48" s="66"/>
      <c r="I48" s="66"/>
    </row>
  </sheetData>
  <mergeCells count="3">
    <mergeCell ref="A1:I1"/>
    <mergeCell ref="B48:F48"/>
    <mergeCell ref="H48:I48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F9" sqref="F9"/>
    </sheetView>
  </sheetViews>
  <sheetFormatPr defaultColWidth="9" defaultRowHeight="14.4"/>
  <cols>
    <col min="1" max="1" width="9" style="59"/>
    <col min="2" max="2" width="18.7777777777778" style="59" customWidth="1"/>
    <col min="3" max="3" width="20" style="59" customWidth="1"/>
    <col min="4" max="5" width="17.2222222222222" style="59" customWidth="1"/>
    <col min="6" max="7" width="17.2222222222222" style="60" customWidth="1"/>
    <col min="8" max="8" width="17.2222222222222" style="59" customWidth="1"/>
    <col min="9" max="9" width="22.2222222222222" style="59" customWidth="1"/>
    <col min="10" max="16384" width="9" style="59"/>
  </cols>
  <sheetData>
    <row r="1" ht="25.8" spans="1:11">
      <c r="A1" s="104" t="s">
        <v>134</v>
      </c>
      <c r="B1" s="104"/>
      <c r="C1" s="104"/>
      <c r="D1" s="104"/>
      <c r="E1" s="104"/>
      <c r="F1" s="105"/>
      <c r="G1" s="105"/>
      <c r="H1" s="104"/>
      <c r="I1" s="104"/>
      <c r="J1" s="104"/>
      <c r="K1" s="104"/>
    </row>
    <row r="2" ht="34" customHeight="1" spans="1:11">
      <c r="A2" s="64" t="s">
        <v>1</v>
      </c>
      <c r="B2" s="64" t="s">
        <v>15</v>
      </c>
      <c r="C2" s="64" t="s">
        <v>16</v>
      </c>
      <c r="D2" s="64" t="s">
        <v>17</v>
      </c>
      <c r="E2" s="64" t="s">
        <v>18</v>
      </c>
      <c r="F2" s="65" t="s">
        <v>19</v>
      </c>
      <c r="G2" s="65" t="s">
        <v>20</v>
      </c>
      <c r="H2" s="64" t="s">
        <v>21</v>
      </c>
      <c r="I2" s="64" t="s">
        <v>22</v>
      </c>
      <c r="J2" s="107"/>
      <c r="K2" s="107"/>
    </row>
    <row r="3" ht="70" customHeight="1" spans="1:11">
      <c r="A3" s="66">
        <v>1</v>
      </c>
      <c r="B3" s="67" t="s">
        <v>135</v>
      </c>
      <c r="C3" s="72"/>
      <c r="D3" s="69" t="s">
        <v>62</v>
      </c>
      <c r="E3" s="70">
        <v>1</v>
      </c>
      <c r="F3" s="51"/>
      <c r="G3" s="51">
        <f>F3*E3</f>
        <v>0</v>
      </c>
      <c r="H3" s="67" t="s">
        <v>26</v>
      </c>
      <c r="I3" s="72" t="s">
        <v>136</v>
      </c>
      <c r="J3" s="107"/>
      <c r="K3" s="107"/>
    </row>
    <row r="4" ht="70" customHeight="1" spans="1:11">
      <c r="A4" s="66">
        <v>2</v>
      </c>
      <c r="B4" s="99" t="s">
        <v>87</v>
      </c>
      <c r="C4" s="71" t="s">
        <v>88</v>
      </c>
      <c r="D4" s="72" t="s">
        <v>25</v>
      </c>
      <c r="E4" s="73">
        <v>6</v>
      </c>
      <c r="F4" s="74"/>
      <c r="G4" s="51">
        <f t="shared" ref="G4:G10" si="0">F4*E4</f>
        <v>0</v>
      </c>
      <c r="H4" s="68" t="s">
        <v>89</v>
      </c>
      <c r="I4" s="101" t="str">
        <f>_xlfn.DISPIMG("ID_973D422AC4CB4563924011E3FBBA2B9A",1)</f>
        <v>=DISPIMG("ID_973D422AC4CB4563924011E3FBBA2B9A",1)</v>
      </c>
      <c r="J4" s="107"/>
      <c r="K4" s="107"/>
    </row>
    <row r="5" ht="70" customHeight="1" spans="1:11">
      <c r="A5" s="66">
        <v>3</v>
      </c>
      <c r="B5" s="67" t="s">
        <v>42</v>
      </c>
      <c r="C5" s="72" t="s">
        <v>43</v>
      </c>
      <c r="D5" s="69" t="s">
        <v>37</v>
      </c>
      <c r="E5" s="70">
        <v>30</v>
      </c>
      <c r="F5" s="51"/>
      <c r="G5" s="51">
        <f t="shared" si="0"/>
        <v>0</v>
      </c>
      <c r="H5" s="67" t="s">
        <v>26</v>
      </c>
      <c r="I5" s="72" t="str">
        <f>_xlfn.DISPIMG("ID_A18B310E0CE5406880214F59DBB0596C",1)</f>
        <v>=DISPIMG("ID_A18B310E0CE5406880214F59DBB0596C",1)</v>
      </c>
      <c r="J5" s="107"/>
      <c r="K5" s="107"/>
    </row>
    <row r="6" ht="70" customHeight="1" spans="1:11">
      <c r="A6" s="66">
        <v>4</v>
      </c>
      <c r="B6" s="75" t="s">
        <v>137</v>
      </c>
      <c r="C6" s="91" t="s">
        <v>138</v>
      </c>
      <c r="D6" s="66" t="s">
        <v>37</v>
      </c>
      <c r="E6" s="66">
        <v>1</v>
      </c>
      <c r="F6" s="77"/>
      <c r="G6" s="51">
        <f t="shared" si="0"/>
        <v>0</v>
      </c>
      <c r="H6" s="91" t="s">
        <v>69</v>
      </c>
      <c r="I6" s="88" t="str">
        <f>_xlfn.DISPIMG("ID_8051704CD8D144CF8B307EA884413F00",1)</f>
        <v>=DISPIMG("ID_8051704CD8D144CF8B307EA884413F00",1)</v>
      </c>
      <c r="J6" s="107"/>
      <c r="K6" s="107"/>
    </row>
    <row r="7" ht="70" customHeight="1" spans="1:11">
      <c r="A7" s="66">
        <v>5</v>
      </c>
      <c r="B7" s="85" t="s">
        <v>108</v>
      </c>
      <c r="C7" s="87" t="s">
        <v>109</v>
      </c>
      <c r="D7" s="66" t="s">
        <v>37</v>
      </c>
      <c r="E7" s="66">
        <v>1</v>
      </c>
      <c r="F7" s="77"/>
      <c r="G7" s="51">
        <f t="shared" si="0"/>
        <v>0</v>
      </c>
      <c r="H7" s="66" t="s">
        <v>110</v>
      </c>
      <c r="I7" s="88" t="str">
        <f>_xlfn.DISPIMG("ID_DB811501141B44D99E150CBA555E4A27",1)</f>
        <v>=DISPIMG("ID_DB811501141B44D99E150CBA555E4A27",1)</v>
      </c>
      <c r="J7" s="107"/>
      <c r="K7" s="107"/>
    </row>
    <row r="8" ht="70" customHeight="1" spans="1:11">
      <c r="A8" s="66">
        <v>6</v>
      </c>
      <c r="B8" s="85" t="s">
        <v>111</v>
      </c>
      <c r="C8" s="88" t="s">
        <v>112</v>
      </c>
      <c r="D8" s="66" t="s">
        <v>25</v>
      </c>
      <c r="E8" s="66">
        <v>2</v>
      </c>
      <c r="F8" s="77"/>
      <c r="G8" s="51">
        <f t="shared" si="0"/>
        <v>0</v>
      </c>
      <c r="H8" s="66" t="s">
        <v>110</v>
      </c>
      <c r="I8" s="88"/>
      <c r="J8" s="107"/>
      <c r="K8" s="107"/>
    </row>
    <row r="9" ht="70" customHeight="1" spans="1:11">
      <c r="A9" s="66">
        <v>7</v>
      </c>
      <c r="B9" s="85" t="s">
        <v>113</v>
      </c>
      <c r="C9" s="88" t="s">
        <v>114</v>
      </c>
      <c r="D9" s="66" t="s">
        <v>115</v>
      </c>
      <c r="E9" s="66">
        <v>2</v>
      </c>
      <c r="F9" s="77"/>
      <c r="G9" s="51">
        <f t="shared" si="0"/>
        <v>0</v>
      </c>
      <c r="H9" s="66" t="s">
        <v>110</v>
      </c>
      <c r="I9" s="88"/>
      <c r="J9" s="107"/>
      <c r="K9" s="107"/>
    </row>
    <row r="10" ht="70" customHeight="1" spans="1:11">
      <c r="A10" s="66">
        <v>8</v>
      </c>
      <c r="B10" s="92" t="s">
        <v>130</v>
      </c>
      <c r="C10" s="93" t="s">
        <v>131</v>
      </c>
      <c r="D10" s="66" t="s">
        <v>132</v>
      </c>
      <c r="E10" s="66">
        <v>2</v>
      </c>
      <c r="F10" s="77"/>
      <c r="G10" s="51">
        <f t="shared" si="0"/>
        <v>0</v>
      </c>
      <c r="H10" s="68" t="s">
        <v>26</v>
      </c>
      <c r="I10" s="93" t="str">
        <f>_xlfn.DISPIMG("ID_04F5B9C27C554E49A6BB79D9365240E2",1)</f>
        <v>=DISPIMG("ID_04F5B9C27C554E49A6BB79D9365240E2",1)</v>
      </c>
      <c r="J10" s="107"/>
      <c r="K10" s="107"/>
    </row>
    <row r="11" s="103" customFormat="1" ht="70" customHeight="1" spans="1:11">
      <c r="A11" s="88"/>
      <c r="B11" s="88"/>
      <c r="C11" s="88"/>
      <c r="D11" s="88"/>
      <c r="E11" s="88"/>
      <c r="F11" s="66" t="s">
        <v>139</v>
      </c>
      <c r="G11" s="51">
        <f>SUM(G3:G10)</f>
        <v>0</v>
      </c>
      <c r="H11" s="88"/>
      <c r="I11" s="88"/>
      <c r="J11" s="108"/>
      <c r="K11" s="108"/>
    </row>
    <row r="12" s="103" customFormat="1" ht="70" customHeight="1" spans="6:7">
      <c r="F12" s="106"/>
      <c r="G12" s="106"/>
    </row>
    <row r="13" s="103" customFormat="1" ht="70" customHeight="1" spans="6:7">
      <c r="F13" s="106"/>
      <c r="G13" s="106"/>
    </row>
    <row r="14" s="103" customFormat="1" ht="70" customHeight="1" spans="6:7">
      <c r="F14" s="106"/>
      <c r="G14" s="106"/>
    </row>
    <row r="15" s="103" customFormat="1" ht="70" customHeight="1" spans="6:7">
      <c r="F15" s="106"/>
      <c r="G15" s="106"/>
    </row>
    <row r="16" s="103" customFormat="1" ht="70" customHeight="1" spans="6:7">
      <c r="F16" s="106"/>
      <c r="G16" s="106"/>
    </row>
    <row r="17" s="103" customFormat="1" ht="70" customHeight="1" spans="6:7">
      <c r="F17" s="106"/>
      <c r="G17" s="106"/>
    </row>
    <row r="18" s="103" customFormat="1" ht="70" customHeight="1" spans="6:7">
      <c r="F18" s="106"/>
      <c r="G18" s="106"/>
    </row>
    <row r="19" s="103" customFormat="1" ht="70" customHeight="1" spans="6:7">
      <c r="F19" s="106"/>
      <c r="G19" s="106"/>
    </row>
  </sheetData>
  <mergeCells count="1">
    <mergeCell ref="A1:K1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8" workbookViewId="0">
      <selection activeCell="G8" sqref="G8"/>
    </sheetView>
  </sheetViews>
  <sheetFormatPr defaultColWidth="8.89814814814815" defaultRowHeight="14.4"/>
  <cols>
    <col min="1" max="1" width="8.89814814814815" style="59"/>
    <col min="2" max="2" width="18" style="59" customWidth="1"/>
    <col min="3" max="3" width="21.8981481481481" style="59" customWidth="1"/>
    <col min="4" max="5" width="14" style="59" customWidth="1"/>
    <col min="6" max="7" width="14" style="60" customWidth="1"/>
    <col min="8" max="8" width="18.6666666666667" style="59" customWidth="1"/>
    <col min="9" max="9" width="24.2222222222222" style="59" customWidth="1"/>
    <col min="10" max="16384" width="8.89814814814815" style="59"/>
  </cols>
  <sheetData>
    <row r="1" ht="32" customHeight="1" spans="1:11">
      <c r="A1" s="62" t="s">
        <v>140</v>
      </c>
      <c r="B1" s="62"/>
      <c r="C1" s="62"/>
      <c r="D1" s="62"/>
      <c r="E1" s="62"/>
      <c r="F1" s="63"/>
      <c r="G1" s="63"/>
      <c r="H1" s="62"/>
      <c r="I1" s="62"/>
      <c r="J1" s="62"/>
      <c r="K1" s="62"/>
    </row>
    <row r="2" ht="25" customHeight="1" spans="1:9">
      <c r="A2" s="64" t="s">
        <v>1</v>
      </c>
      <c r="B2" s="64" t="s">
        <v>15</v>
      </c>
      <c r="C2" s="64" t="s">
        <v>16</v>
      </c>
      <c r="D2" s="64" t="s">
        <v>17</v>
      </c>
      <c r="E2" s="64" t="s">
        <v>18</v>
      </c>
      <c r="F2" s="64" t="s">
        <v>19</v>
      </c>
      <c r="G2" s="64" t="s">
        <v>20</v>
      </c>
      <c r="H2" s="64" t="s">
        <v>21</v>
      </c>
      <c r="I2" s="64" t="s">
        <v>22</v>
      </c>
    </row>
    <row r="3" ht="71" customHeight="1" spans="1:9">
      <c r="A3" s="66">
        <v>1</v>
      </c>
      <c r="B3" s="67" t="s">
        <v>141</v>
      </c>
      <c r="C3" s="68" t="s">
        <v>142</v>
      </c>
      <c r="D3" s="69" t="s">
        <v>37</v>
      </c>
      <c r="E3" s="70">
        <v>12</v>
      </c>
      <c r="F3" s="51"/>
      <c r="G3" s="51">
        <f>F3*E3</f>
        <v>0</v>
      </c>
      <c r="H3" s="67" t="s">
        <v>89</v>
      </c>
      <c r="I3" s="72" t="str">
        <f>_xlfn.DISPIMG("ID_4042ED9402244781A537E598FAE3DB90",1)</f>
        <v>=DISPIMG("ID_4042ED9402244781A537E598FAE3DB90",1)</v>
      </c>
    </row>
    <row r="4" ht="71" customHeight="1" spans="1:9">
      <c r="A4" s="66">
        <v>2</v>
      </c>
      <c r="B4" s="99" t="s">
        <v>143</v>
      </c>
      <c r="C4" s="71" t="s">
        <v>144</v>
      </c>
      <c r="D4" s="72" t="s">
        <v>78</v>
      </c>
      <c r="E4" s="73">
        <v>3</v>
      </c>
      <c r="F4" s="74"/>
      <c r="G4" s="51">
        <f t="shared" ref="G4:G14" si="0">F4*E4</f>
        <v>0</v>
      </c>
      <c r="H4" s="68" t="s">
        <v>26</v>
      </c>
      <c r="I4" s="101" t="str">
        <f>_xlfn.DISPIMG("ID_8400DDC1AF964306B7CCA6475859689C",1)</f>
        <v>=DISPIMG("ID_8400DDC1AF964306B7CCA6475859689C",1)</v>
      </c>
    </row>
    <row r="5" ht="71" customHeight="1" spans="1:9">
      <c r="A5" s="66">
        <v>3</v>
      </c>
      <c r="B5" s="99" t="s">
        <v>39</v>
      </c>
      <c r="C5" s="71" t="s">
        <v>44</v>
      </c>
      <c r="D5" s="72" t="s">
        <v>37</v>
      </c>
      <c r="E5" s="73">
        <v>10</v>
      </c>
      <c r="F5" s="74"/>
      <c r="G5" s="51">
        <f t="shared" si="0"/>
        <v>0</v>
      </c>
      <c r="H5" s="68" t="s">
        <v>41</v>
      </c>
      <c r="I5" s="68" t="str">
        <f>_xlfn.DISPIMG("ID_51F1C27124044C0A918882B57C43A450",1)</f>
        <v>=DISPIMG("ID_51F1C27124044C0A918882B57C43A450",1)</v>
      </c>
    </row>
    <row r="6" ht="71" customHeight="1" spans="1:9">
      <c r="A6" s="66">
        <v>4</v>
      </c>
      <c r="B6" s="100" t="s">
        <v>67</v>
      </c>
      <c r="C6" s="82" t="s">
        <v>68</v>
      </c>
      <c r="D6" s="66" t="s">
        <v>25</v>
      </c>
      <c r="E6" s="66">
        <v>1</v>
      </c>
      <c r="F6" s="77"/>
      <c r="G6" s="51">
        <f t="shared" si="0"/>
        <v>0</v>
      </c>
      <c r="H6" s="82" t="s">
        <v>69</v>
      </c>
      <c r="I6" s="88" t="str">
        <f>_xlfn.DISPIMG("ID_68E3B829CB1645F58B4ABCBB6FB2D7D9",1)</f>
        <v>=DISPIMG("ID_68E3B829CB1645F58B4ABCBB6FB2D7D9",1)</v>
      </c>
    </row>
    <row r="7" ht="71" customHeight="1" spans="1:9">
      <c r="A7" s="66">
        <v>5</v>
      </c>
      <c r="B7" s="99" t="s">
        <v>55</v>
      </c>
      <c r="C7" s="71" t="s">
        <v>56</v>
      </c>
      <c r="D7" s="72" t="s">
        <v>25</v>
      </c>
      <c r="E7" s="73">
        <v>1</v>
      </c>
      <c r="F7" s="74"/>
      <c r="G7" s="51">
        <f t="shared" si="0"/>
        <v>0</v>
      </c>
      <c r="H7" s="68" t="s">
        <v>57</v>
      </c>
      <c r="I7" s="102" t="str">
        <f>_xlfn.DISPIMG("ID_4E2BC35D558E479C8A0904DE8A130E4A",1)</f>
        <v>=DISPIMG("ID_4E2BC35D558E479C8A0904DE8A130E4A",1)</v>
      </c>
    </row>
    <row r="8" ht="71" customHeight="1" spans="1:9">
      <c r="A8" s="66">
        <v>6</v>
      </c>
      <c r="B8" s="99" t="s">
        <v>87</v>
      </c>
      <c r="C8" s="71" t="s">
        <v>88</v>
      </c>
      <c r="D8" s="72" t="s">
        <v>25</v>
      </c>
      <c r="E8" s="73">
        <v>4</v>
      </c>
      <c r="F8" s="74"/>
      <c r="G8" s="51">
        <f t="shared" si="0"/>
        <v>0</v>
      </c>
      <c r="H8" s="68" t="s">
        <v>89</v>
      </c>
      <c r="I8" s="101" t="str">
        <f>_xlfn.DISPIMG("ID_D2D0D013549540B9ABC5ECAA580D99BE",1)</f>
        <v>=DISPIMG("ID_D2D0D013549540B9ABC5ECAA580D99BE",1)</v>
      </c>
    </row>
    <row r="9" ht="71" customHeight="1" spans="1:9">
      <c r="A9" s="66">
        <v>7</v>
      </c>
      <c r="B9" s="68" t="s">
        <v>93</v>
      </c>
      <c r="C9" s="71" t="s">
        <v>94</v>
      </c>
      <c r="D9" s="72" t="s">
        <v>62</v>
      </c>
      <c r="E9" s="73">
        <v>5</v>
      </c>
      <c r="F9" s="74"/>
      <c r="G9" s="51">
        <f t="shared" si="0"/>
        <v>0</v>
      </c>
      <c r="H9" s="68" t="s">
        <v>26</v>
      </c>
      <c r="I9" s="98" t="str">
        <f>_xlfn.DISPIMG("ID_E4C99362697A4258897AFCFABFF52DBE",1)</f>
        <v>=DISPIMG("ID_E4C99362697A4258897AFCFABFF52DBE",1)</v>
      </c>
    </row>
    <row r="10" ht="71" customHeight="1" spans="1:9">
      <c r="A10" s="66">
        <v>8</v>
      </c>
      <c r="B10" s="85" t="s">
        <v>108</v>
      </c>
      <c r="C10" s="87" t="s">
        <v>109</v>
      </c>
      <c r="D10" s="66" t="s">
        <v>37</v>
      </c>
      <c r="E10" s="66">
        <v>1</v>
      </c>
      <c r="F10" s="77"/>
      <c r="G10" s="51">
        <f t="shared" si="0"/>
        <v>0</v>
      </c>
      <c r="H10" s="66" t="s">
        <v>110</v>
      </c>
      <c r="I10" s="88" t="str">
        <f>_xlfn.DISPIMG("ID_D7A2F313C55D4512A00171EBFFC7DB8D",1)</f>
        <v>=DISPIMG("ID_D7A2F313C55D4512A00171EBFFC7DB8D",1)</v>
      </c>
    </row>
    <row r="11" ht="71" customHeight="1" spans="1:9">
      <c r="A11" s="66">
        <v>9</v>
      </c>
      <c r="B11" s="85" t="s">
        <v>111</v>
      </c>
      <c r="C11" s="88" t="s">
        <v>112</v>
      </c>
      <c r="D11" s="66" t="s">
        <v>25</v>
      </c>
      <c r="E11" s="66">
        <v>2</v>
      </c>
      <c r="F11" s="77"/>
      <c r="G11" s="51">
        <f t="shared" si="0"/>
        <v>0</v>
      </c>
      <c r="H11" s="66" t="s">
        <v>110</v>
      </c>
      <c r="I11" s="88"/>
    </row>
    <row r="12" ht="75" customHeight="1" spans="1:9">
      <c r="A12" s="66">
        <v>10</v>
      </c>
      <c r="B12" s="85" t="s">
        <v>113</v>
      </c>
      <c r="C12" s="88" t="s">
        <v>114</v>
      </c>
      <c r="D12" s="66" t="s">
        <v>115</v>
      </c>
      <c r="E12" s="66">
        <v>2</v>
      </c>
      <c r="F12" s="77"/>
      <c r="G12" s="51">
        <f t="shared" si="0"/>
        <v>0</v>
      </c>
      <c r="H12" s="66" t="s">
        <v>110</v>
      </c>
      <c r="I12" s="88"/>
    </row>
    <row r="13" ht="72" customHeight="1" spans="1:9">
      <c r="A13" s="66">
        <v>11</v>
      </c>
      <c r="B13" s="75" t="s">
        <v>145</v>
      </c>
      <c r="C13" s="91" t="s">
        <v>138</v>
      </c>
      <c r="D13" s="66" t="s">
        <v>37</v>
      </c>
      <c r="E13" s="66">
        <v>1</v>
      </c>
      <c r="F13" s="77"/>
      <c r="G13" s="77">
        <f t="shared" si="0"/>
        <v>0</v>
      </c>
      <c r="H13" s="91" t="s">
        <v>69</v>
      </c>
      <c r="I13" s="88" t="str">
        <f>_xlfn.DISPIMG("ID_8CA0E665D2F94977B7805FFB13BCB819",1)</f>
        <v>=DISPIMG("ID_8CA0E665D2F94977B7805FFB13BCB819",1)</v>
      </c>
    </row>
    <row r="14" ht="72" customHeight="1" spans="1:9">
      <c r="A14" s="66">
        <v>12</v>
      </c>
      <c r="B14" s="92" t="s">
        <v>130</v>
      </c>
      <c r="C14" s="93" t="s">
        <v>131</v>
      </c>
      <c r="D14" s="66" t="s">
        <v>132</v>
      </c>
      <c r="E14" s="66">
        <v>2</v>
      </c>
      <c r="F14" s="77"/>
      <c r="G14" s="77">
        <f t="shared" si="0"/>
        <v>0</v>
      </c>
      <c r="H14" s="68" t="s">
        <v>26</v>
      </c>
      <c r="I14" s="93" t="str">
        <f>_xlfn.DISPIMG("ID_18688CB717E242FABF01051740424F89",1)</f>
        <v>=DISPIMG("ID_18688CB717E242FABF01051740424F89",1)</v>
      </c>
    </row>
    <row r="15" ht="46" customHeight="1" spans="1:9">
      <c r="A15" s="66" t="s">
        <v>133</v>
      </c>
      <c r="B15" s="66"/>
      <c r="C15" s="66"/>
      <c r="D15" s="66"/>
      <c r="E15" s="66"/>
      <c r="F15" s="66"/>
      <c r="G15" s="77">
        <f>SUM(G3:G14)</f>
        <v>0</v>
      </c>
      <c r="H15" s="66"/>
      <c r="I15" s="66"/>
    </row>
  </sheetData>
  <mergeCells count="3">
    <mergeCell ref="A1:K1"/>
    <mergeCell ref="B15:F15"/>
    <mergeCell ref="H15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7" workbookViewId="0">
      <selection activeCell="F19" sqref="F19"/>
    </sheetView>
  </sheetViews>
  <sheetFormatPr defaultColWidth="8.89814814814815" defaultRowHeight="14.4"/>
  <cols>
    <col min="1" max="1" width="8.89814814814815" style="59"/>
    <col min="2" max="2" width="15.2222222222222" style="59" customWidth="1"/>
    <col min="3" max="3" width="21.1111111111111" style="59" customWidth="1"/>
    <col min="4" max="5" width="15.3333333333333" style="59" customWidth="1"/>
    <col min="6" max="7" width="15.3333333333333" style="60" customWidth="1"/>
    <col min="8" max="8" width="18.4444444444444" style="59" customWidth="1"/>
    <col min="9" max="9" width="24.1018518518519" style="59" customWidth="1"/>
    <col min="10" max="10" width="20" style="61" customWidth="1"/>
    <col min="11" max="16384" width="8.89814814814815" style="59"/>
  </cols>
  <sheetData>
    <row r="1" ht="25.8" spans="1:11">
      <c r="A1" s="62" t="s">
        <v>146</v>
      </c>
      <c r="B1" s="62"/>
      <c r="C1" s="62"/>
      <c r="D1" s="62"/>
      <c r="E1" s="62"/>
      <c r="F1" s="63"/>
      <c r="G1" s="63"/>
      <c r="H1" s="62"/>
      <c r="I1" s="62"/>
      <c r="J1" s="62"/>
      <c r="K1" s="97"/>
    </row>
    <row r="2" ht="29" customHeight="1" spans="1:9">
      <c r="A2" s="64" t="s">
        <v>1</v>
      </c>
      <c r="B2" s="64" t="s">
        <v>15</v>
      </c>
      <c r="C2" s="64" t="s">
        <v>16</v>
      </c>
      <c r="D2" s="64" t="s">
        <v>17</v>
      </c>
      <c r="E2" s="64" t="s">
        <v>18</v>
      </c>
      <c r="F2" s="65" t="s">
        <v>19</v>
      </c>
      <c r="G2" s="65" t="s">
        <v>20</v>
      </c>
      <c r="H2" s="64" t="s">
        <v>21</v>
      </c>
      <c r="I2" s="64" t="s">
        <v>22</v>
      </c>
    </row>
    <row r="3" ht="72" customHeight="1" spans="1:9">
      <c r="A3" s="66">
        <v>1</v>
      </c>
      <c r="B3" s="67" t="s">
        <v>147</v>
      </c>
      <c r="C3" s="68" t="s">
        <v>148</v>
      </c>
      <c r="D3" s="69" t="s">
        <v>25</v>
      </c>
      <c r="E3" s="70">
        <v>2</v>
      </c>
      <c r="F3" s="51"/>
      <c r="G3" s="51">
        <f>F3*E3</f>
        <v>0</v>
      </c>
      <c r="H3" s="67" t="s">
        <v>41</v>
      </c>
      <c r="I3" s="72" t="str">
        <f>_xlfn.DISPIMG("ID_A336B238693A41FDBAF5F5A05AF12C43",1)</f>
        <v>=DISPIMG("ID_A336B238693A41FDBAF5F5A05AF12C43",1)</v>
      </c>
    </row>
    <row r="4" ht="72" customHeight="1" spans="1:9">
      <c r="A4" s="66">
        <v>2</v>
      </c>
      <c r="B4" s="67" t="s">
        <v>149</v>
      </c>
      <c r="C4" s="68" t="s">
        <v>150</v>
      </c>
      <c r="D4" s="69" t="s">
        <v>37</v>
      </c>
      <c r="E4" s="70">
        <v>1</v>
      </c>
      <c r="F4" s="51"/>
      <c r="G4" s="51">
        <f t="shared" ref="G4:G27" si="0">F4*E4</f>
        <v>0</v>
      </c>
      <c r="H4" s="67" t="s">
        <v>26</v>
      </c>
      <c r="I4" s="72" t="str">
        <f>_xlfn.DISPIMG("ID_2690D8A0B262483B88723E1A9A7B3843",1)</f>
        <v>=DISPIMG("ID_2690D8A0B262483B88723E1A9A7B3843",1)</v>
      </c>
    </row>
    <row r="5" ht="72" customHeight="1" spans="1:9">
      <c r="A5" s="66">
        <v>3</v>
      </c>
      <c r="B5" s="67" t="s">
        <v>151</v>
      </c>
      <c r="C5" s="68" t="s">
        <v>152</v>
      </c>
      <c r="D5" s="69" t="s">
        <v>153</v>
      </c>
      <c r="E5" s="70">
        <v>2</v>
      </c>
      <c r="F5" s="51"/>
      <c r="G5" s="51">
        <f t="shared" si="0"/>
        <v>0</v>
      </c>
      <c r="H5" s="67" t="s">
        <v>26</v>
      </c>
      <c r="I5" s="72" t="str">
        <f>_xlfn.DISPIMG("ID_A1D3EF53FDC846FEAFFC6FB0BCD9B282",1)</f>
        <v>=DISPIMG("ID_A1D3EF53FDC846FEAFFC6FB0BCD9B282",1)</v>
      </c>
    </row>
    <row r="6" ht="72" customHeight="1" spans="1:9">
      <c r="A6" s="66">
        <v>4</v>
      </c>
      <c r="B6" s="67" t="s">
        <v>90</v>
      </c>
      <c r="C6" s="68" t="s">
        <v>91</v>
      </c>
      <c r="D6" s="69" t="s">
        <v>92</v>
      </c>
      <c r="E6" s="70">
        <v>1</v>
      </c>
      <c r="F6" s="51"/>
      <c r="G6" s="51">
        <f t="shared" si="0"/>
        <v>0</v>
      </c>
      <c r="H6" s="67" t="s">
        <v>26</v>
      </c>
      <c r="I6" s="72" t="str">
        <f>_xlfn.DISPIMG("ID_C4C21F432C4241098FADC46F0151A3F7",1)</f>
        <v>=DISPIMG("ID_C4C21F432C4241098FADC46F0151A3F7",1)</v>
      </c>
    </row>
    <row r="7" ht="72" customHeight="1" spans="1:9">
      <c r="A7" s="66">
        <v>5</v>
      </c>
      <c r="B7" s="67" t="s">
        <v>154</v>
      </c>
      <c r="C7" s="68" t="s">
        <v>155</v>
      </c>
      <c r="D7" s="69" t="s">
        <v>92</v>
      </c>
      <c r="E7" s="70">
        <v>1</v>
      </c>
      <c r="F7" s="51"/>
      <c r="G7" s="51">
        <f t="shared" si="0"/>
        <v>0</v>
      </c>
      <c r="H7" s="67" t="s">
        <v>26</v>
      </c>
      <c r="I7" s="72" t="str">
        <f>_xlfn.DISPIMG("ID_3F551732E7D84586BE3854833B0460D9",1)</f>
        <v>=DISPIMG("ID_3F551732E7D84586BE3854833B0460D9",1)</v>
      </c>
    </row>
    <row r="8" ht="72" customHeight="1" spans="1:9">
      <c r="A8" s="66">
        <v>6</v>
      </c>
      <c r="B8" s="67" t="s">
        <v>156</v>
      </c>
      <c r="C8" s="68" t="s">
        <v>157</v>
      </c>
      <c r="D8" s="69" t="s">
        <v>158</v>
      </c>
      <c r="E8" s="70">
        <v>1</v>
      </c>
      <c r="F8" s="51"/>
      <c r="G8" s="51">
        <f t="shared" si="0"/>
        <v>0</v>
      </c>
      <c r="H8" s="67" t="s">
        <v>159</v>
      </c>
      <c r="I8" s="72" t="str">
        <f>_xlfn.DISPIMG("ID_F702442677B44F858B219EDDC377DD76",1)</f>
        <v>=DISPIMG("ID_F702442677B44F858B219EDDC377DD76",1)</v>
      </c>
    </row>
    <row r="9" ht="72" customHeight="1" spans="1:9">
      <c r="A9" s="66">
        <v>7</v>
      </c>
      <c r="B9" s="67" t="s">
        <v>160</v>
      </c>
      <c r="C9" s="68" t="s">
        <v>161</v>
      </c>
      <c r="D9" s="69" t="s">
        <v>25</v>
      </c>
      <c r="E9" s="70">
        <v>1</v>
      </c>
      <c r="F9" s="51"/>
      <c r="G9" s="51">
        <f t="shared" si="0"/>
        <v>0</v>
      </c>
      <c r="H9" s="67" t="s">
        <v>26</v>
      </c>
      <c r="I9" s="72" t="str">
        <f>_xlfn.DISPIMG("ID_82A055BC537449148F9FB5D1DA6E0DFB",1)</f>
        <v>=DISPIMG("ID_82A055BC537449148F9FB5D1DA6E0DFB",1)</v>
      </c>
    </row>
    <row r="10" ht="66" customHeight="1" spans="1:9">
      <c r="A10" s="66">
        <v>9</v>
      </c>
      <c r="B10" s="68" t="s">
        <v>93</v>
      </c>
      <c r="C10" s="71" t="s">
        <v>94</v>
      </c>
      <c r="D10" s="72" t="s">
        <v>62</v>
      </c>
      <c r="E10" s="73">
        <v>5</v>
      </c>
      <c r="F10" s="74"/>
      <c r="G10" s="51">
        <f t="shared" si="0"/>
        <v>0</v>
      </c>
      <c r="H10" s="68" t="s">
        <v>26</v>
      </c>
      <c r="I10" s="98" t="str">
        <f>_xlfn.DISPIMG("ID_18539673C8EF4D8F979CCE44FD26291E",1)</f>
        <v>=DISPIMG("ID_18539673C8EF4D8F979CCE44FD26291E",1)</v>
      </c>
    </row>
    <row r="11" ht="71" customHeight="1" spans="1:9">
      <c r="A11" s="66">
        <v>10</v>
      </c>
      <c r="B11" s="75" t="s">
        <v>162</v>
      </c>
      <c r="C11" s="76" t="s">
        <v>163</v>
      </c>
      <c r="D11" s="66" t="s">
        <v>62</v>
      </c>
      <c r="E11" s="66">
        <v>1</v>
      </c>
      <c r="F11" s="77"/>
      <c r="G11" s="51">
        <f t="shared" si="0"/>
        <v>0</v>
      </c>
      <c r="H11" s="66" t="s">
        <v>164</v>
      </c>
      <c r="I11" s="88"/>
    </row>
    <row r="12" ht="72" customHeight="1" spans="1:9">
      <c r="A12" s="66">
        <v>11</v>
      </c>
      <c r="B12" s="75" t="s">
        <v>165</v>
      </c>
      <c r="C12" s="78" t="s">
        <v>166</v>
      </c>
      <c r="D12" s="66" t="s">
        <v>37</v>
      </c>
      <c r="E12" s="66">
        <v>5</v>
      </c>
      <c r="F12" s="77"/>
      <c r="G12" s="51">
        <f t="shared" si="0"/>
        <v>0</v>
      </c>
      <c r="H12" s="75" t="s">
        <v>167</v>
      </c>
      <c r="I12" s="88" t="str">
        <f>_xlfn.DISPIMG("ID_5634FF2A808B4B33854E84CF16FEB793",1)</f>
        <v>=DISPIMG("ID_5634FF2A808B4B33854E84CF16FEB793",1)</v>
      </c>
    </row>
    <row r="13" ht="71" customHeight="1" spans="1:9">
      <c r="A13" s="66">
        <v>13</v>
      </c>
      <c r="B13" s="79" t="s">
        <v>168</v>
      </c>
      <c r="C13" s="68" t="s">
        <v>101</v>
      </c>
      <c r="D13" s="66" t="s">
        <v>25</v>
      </c>
      <c r="E13" s="66">
        <v>2</v>
      </c>
      <c r="F13" s="77"/>
      <c r="G13" s="51">
        <f t="shared" si="0"/>
        <v>0</v>
      </c>
      <c r="H13" s="80" t="s">
        <v>169</v>
      </c>
      <c r="I13" s="88" t="str">
        <f>_xlfn.DISPIMG("ID_3F39BBE640A545DF927C88B5C191267C",1)</f>
        <v>=DISPIMG("ID_3F39BBE640A545DF927C88B5C191267C",1)</v>
      </c>
    </row>
    <row r="14" ht="71" customHeight="1" spans="1:9">
      <c r="A14" s="66">
        <v>14</v>
      </c>
      <c r="B14" s="67" t="s">
        <v>33</v>
      </c>
      <c r="C14" s="68" t="s">
        <v>30</v>
      </c>
      <c r="D14" s="69" t="s">
        <v>31</v>
      </c>
      <c r="E14" s="70">
        <v>1</v>
      </c>
      <c r="F14" s="51"/>
      <c r="G14" s="51">
        <f t="shared" si="0"/>
        <v>0</v>
      </c>
      <c r="H14" s="67" t="s">
        <v>32</v>
      </c>
      <c r="I14" s="72" t="str">
        <f>_xlfn.DISPIMG("ID_4ED7040D5BC445549781AB28D4763710",1)</f>
        <v>=DISPIMG("ID_4ED7040D5BC445549781AB28D4763710",1)</v>
      </c>
    </row>
    <row r="15" ht="97" customHeight="1" spans="1:9">
      <c r="A15" s="66">
        <v>16</v>
      </c>
      <c r="B15" s="81" t="s">
        <v>170</v>
      </c>
      <c r="C15" s="82" t="s">
        <v>171</v>
      </c>
      <c r="D15" s="69" t="s">
        <v>62</v>
      </c>
      <c r="E15" s="70">
        <v>1</v>
      </c>
      <c r="F15" s="51"/>
      <c r="G15" s="51">
        <f t="shared" si="0"/>
        <v>0</v>
      </c>
      <c r="H15" s="67" t="s">
        <v>172</v>
      </c>
      <c r="I15" s="72"/>
    </row>
    <row r="16" ht="71" customHeight="1" spans="1:9">
      <c r="A16" s="66">
        <v>18</v>
      </c>
      <c r="B16" s="83" t="s">
        <v>173</v>
      </c>
      <c r="C16" s="68"/>
      <c r="D16" s="69" t="s">
        <v>115</v>
      </c>
      <c r="E16" s="70">
        <v>1</v>
      </c>
      <c r="F16" s="51"/>
      <c r="G16" s="51">
        <f t="shared" si="0"/>
        <v>0</v>
      </c>
      <c r="H16" s="84" t="s">
        <v>174</v>
      </c>
      <c r="I16" s="72" t="str">
        <f>_xlfn.DISPIMG("ID_6414EBDC06C94A34A42DA3F819013190",1)</f>
        <v>=DISPIMG("ID_6414EBDC06C94A34A42DA3F819013190",1)</v>
      </c>
    </row>
    <row r="17" ht="71" customHeight="1" spans="1:9">
      <c r="A17" s="66">
        <v>19</v>
      </c>
      <c r="B17" s="85" t="s">
        <v>175</v>
      </c>
      <c r="C17" s="68" t="s">
        <v>176</v>
      </c>
      <c r="D17" s="69"/>
      <c r="E17" s="70"/>
      <c r="F17" s="51"/>
      <c r="G17" s="51">
        <f t="shared" si="0"/>
        <v>0</v>
      </c>
      <c r="H17" s="86" t="s">
        <v>177</v>
      </c>
      <c r="I17" s="72" t="str">
        <f>_xlfn.DISPIMG("ID_F14919EBFEEA47168B3E000BF2E209DD",1)</f>
        <v>=DISPIMG("ID_F14919EBFEEA47168B3E000BF2E209DD",1)</v>
      </c>
    </row>
    <row r="18" ht="71" customHeight="1" spans="1:9">
      <c r="A18" s="66">
        <v>20</v>
      </c>
      <c r="B18" s="85" t="s">
        <v>108</v>
      </c>
      <c r="C18" s="87" t="s">
        <v>109</v>
      </c>
      <c r="D18" s="66" t="s">
        <v>37</v>
      </c>
      <c r="E18" s="66">
        <v>1</v>
      </c>
      <c r="F18" s="77"/>
      <c r="G18" s="51">
        <f t="shared" si="0"/>
        <v>0</v>
      </c>
      <c r="H18" s="78" t="s">
        <v>110</v>
      </c>
      <c r="I18" s="88" t="str">
        <f>_xlfn.DISPIMG("ID_D7A2F313C55D4512A00171EBFFC7DB8D",1)</f>
        <v>=DISPIMG("ID_D7A2F313C55D4512A00171EBFFC7DB8D",1)</v>
      </c>
    </row>
    <row r="19" ht="72" customHeight="1" spans="1:9">
      <c r="A19" s="66">
        <v>21</v>
      </c>
      <c r="B19" s="85" t="s">
        <v>111</v>
      </c>
      <c r="C19" s="88" t="s">
        <v>112</v>
      </c>
      <c r="D19" s="66" t="s">
        <v>25</v>
      </c>
      <c r="E19" s="66">
        <v>2</v>
      </c>
      <c r="F19" s="77"/>
      <c r="G19" s="51">
        <f t="shared" si="0"/>
        <v>0</v>
      </c>
      <c r="H19" s="78" t="s">
        <v>110</v>
      </c>
      <c r="I19" s="88"/>
    </row>
    <row r="20" ht="72" customHeight="1" spans="1:9">
      <c r="A20" s="66">
        <v>22</v>
      </c>
      <c r="B20" s="85" t="s">
        <v>113</v>
      </c>
      <c r="C20" s="88" t="s">
        <v>114</v>
      </c>
      <c r="D20" s="66" t="s">
        <v>115</v>
      </c>
      <c r="E20" s="66">
        <v>2</v>
      </c>
      <c r="F20" s="77"/>
      <c r="G20" s="51">
        <f t="shared" si="0"/>
        <v>0</v>
      </c>
      <c r="H20" s="78" t="s">
        <v>110</v>
      </c>
      <c r="I20" s="88"/>
    </row>
    <row r="21" ht="72" customHeight="1" spans="1:9">
      <c r="A21" s="66">
        <v>23</v>
      </c>
      <c r="B21" s="89" t="s">
        <v>178</v>
      </c>
      <c r="C21" s="88"/>
      <c r="D21" s="66" t="s">
        <v>37</v>
      </c>
      <c r="E21" s="66">
        <v>1</v>
      </c>
      <c r="F21" s="77"/>
      <c r="G21" s="51">
        <f t="shared" si="0"/>
        <v>0</v>
      </c>
      <c r="H21" s="90" t="s">
        <v>69</v>
      </c>
      <c r="I21" s="88" t="str">
        <f>_xlfn.DISPIMG("ID_58B574719AEB40EC982005231B1F758E",1)</f>
        <v>=DISPIMG("ID_58B574719AEB40EC982005231B1F758E",1)</v>
      </c>
    </row>
    <row r="22" ht="72" customHeight="1" spans="1:9">
      <c r="A22" s="66">
        <v>24</v>
      </c>
      <c r="B22" s="75" t="s">
        <v>145</v>
      </c>
      <c r="C22" s="91" t="s">
        <v>138</v>
      </c>
      <c r="D22" s="66" t="s">
        <v>37</v>
      </c>
      <c r="E22" s="66">
        <v>1</v>
      </c>
      <c r="F22" s="77"/>
      <c r="G22" s="51">
        <f t="shared" si="0"/>
        <v>0</v>
      </c>
      <c r="H22" s="91" t="s">
        <v>69</v>
      </c>
      <c r="I22" s="88" t="str">
        <f>_xlfn.DISPIMG("ID_6640DEC3C4C84FD4809092E2185F87AC",1)</f>
        <v>=DISPIMG("ID_6640DEC3C4C84FD4809092E2185F87AC",1)</v>
      </c>
    </row>
    <row r="23" ht="75" customHeight="1" spans="1:9">
      <c r="A23" s="66">
        <v>25</v>
      </c>
      <c r="B23" s="92" t="s">
        <v>130</v>
      </c>
      <c r="C23" s="93" t="s">
        <v>131</v>
      </c>
      <c r="D23" s="66" t="s">
        <v>132</v>
      </c>
      <c r="E23" s="66">
        <v>2</v>
      </c>
      <c r="F23" s="77"/>
      <c r="G23" s="51">
        <f t="shared" si="0"/>
        <v>0</v>
      </c>
      <c r="H23" s="68" t="s">
        <v>26</v>
      </c>
      <c r="I23" s="93" t="str">
        <f>_xlfn.DISPIMG("ID_E7F5D46C192145BCBC668DFE0AB4DD4F",1)</f>
        <v>=DISPIMG("ID_E7F5D46C192145BCBC668DFE0AB4DD4F",1)</v>
      </c>
    </row>
    <row r="24" ht="32" customHeight="1" spans="1:9">
      <c r="A24" s="66"/>
      <c r="B24" s="94" t="s">
        <v>133</v>
      </c>
      <c r="C24" s="95"/>
      <c r="D24" s="95"/>
      <c r="E24" s="95"/>
      <c r="F24" s="96"/>
      <c r="G24" s="77">
        <f>SUM(G3:G23)</f>
        <v>0</v>
      </c>
      <c r="H24" s="94"/>
      <c r="I24" s="96"/>
    </row>
  </sheetData>
  <mergeCells count="3">
    <mergeCell ref="A1:I1"/>
    <mergeCell ref="B24:F24"/>
    <mergeCell ref="H24:I2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Q6" sqref="Q6"/>
    </sheetView>
  </sheetViews>
  <sheetFormatPr defaultColWidth="9" defaultRowHeight="14.4"/>
  <cols>
    <col min="1" max="1" width="5.63888888888889" style="36" customWidth="1"/>
    <col min="2" max="2" width="12.8240740740741" style="36" customWidth="1"/>
    <col min="3" max="3" width="9" style="36"/>
    <col min="4" max="4" width="12.4444444444444" style="36"/>
    <col min="5" max="5" width="7.25" style="36" customWidth="1"/>
    <col min="6" max="6" width="5.75" style="36" customWidth="1"/>
    <col min="7" max="7" width="9" style="36"/>
    <col min="8" max="9" width="13.8796296296296" style="36" customWidth="1"/>
    <col min="10" max="10" width="20.8888888888889" style="36" customWidth="1"/>
    <col min="11" max="16384" width="9" style="36"/>
  </cols>
  <sheetData>
    <row r="1" s="36" customFormat="1" ht="22.2" spans="1:11">
      <c r="A1" s="38" t="s">
        <v>179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="36" customFormat="1" ht="29" customHeight="1" spans="1:11">
      <c r="A2" s="40" t="s">
        <v>180</v>
      </c>
      <c r="B2" s="40" t="s">
        <v>181</v>
      </c>
      <c r="C2" s="41" t="s">
        <v>182</v>
      </c>
      <c r="D2" s="42" t="s">
        <v>183</v>
      </c>
      <c r="E2" s="42" t="s">
        <v>184</v>
      </c>
      <c r="F2" s="41" t="s">
        <v>185</v>
      </c>
      <c r="G2" s="43" t="s">
        <v>186</v>
      </c>
      <c r="H2" s="44" t="s">
        <v>187</v>
      </c>
      <c r="I2" s="44" t="s">
        <v>188</v>
      </c>
      <c r="J2" s="41" t="s">
        <v>189</v>
      </c>
      <c r="K2" s="41" t="s">
        <v>190</v>
      </c>
    </row>
    <row r="3" s="36" customFormat="1" ht="29" customHeight="1" spans="1:11">
      <c r="A3" s="40" t="s">
        <v>191</v>
      </c>
      <c r="B3" s="41" t="s">
        <v>192</v>
      </c>
      <c r="C3" s="45" t="s">
        <v>193</v>
      </c>
      <c r="D3" s="45" t="s">
        <v>194</v>
      </c>
      <c r="E3" s="41" t="s">
        <v>195</v>
      </c>
      <c r="F3" s="41" t="s">
        <v>196</v>
      </c>
      <c r="G3" s="46" t="s">
        <v>197</v>
      </c>
      <c r="H3" s="44" t="s">
        <v>198</v>
      </c>
      <c r="I3" s="44" t="s">
        <v>199</v>
      </c>
      <c r="J3" s="41" t="s">
        <v>200</v>
      </c>
      <c r="K3" s="41" t="s">
        <v>201</v>
      </c>
    </row>
    <row r="4" s="37" customFormat="1" ht="73.15" customHeight="1" spans="1:11">
      <c r="A4" s="47">
        <v>1</v>
      </c>
      <c r="B4" s="47" t="s">
        <v>202</v>
      </c>
      <c r="C4" s="48" t="s">
        <v>203</v>
      </c>
      <c r="D4" s="49" t="s">
        <v>204</v>
      </c>
      <c r="E4" s="47" t="s">
        <v>205</v>
      </c>
      <c r="F4" s="47" t="s">
        <v>37</v>
      </c>
      <c r="G4" s="50">
        <v>50</v>
      </c>
      <c r="H4" s="51"/>
      <c r="I4" s="51">
        <f>G4*H4</f>
        <v>0</v>
      </c>
      <c r="J4" s="57" t="str">
        <f>_xlfn.DISPIMG("ID_DB3414E91A004622B48CE6C22064C8A7",1)</f>
        <v>=DISPIMG("ID_DB3414E91A004622B48CE6C22064C8A7",1)</v>
      </c>
      <c r="K4" s="47"/>
    </row>
    <row r="5" s="37" customFormat="1" ht="67.9" customHeight="1" spans="1:11">
      <c r="A5" s="47">
        <v>2</v>
      </c>
      <c r="B5" s="47" t="s">
        <v>206</v>
      </c>
      <c r="C5" s="48" t="s">
        <v>203</v>
      </c>
      <c r="D5" s="49" t="s">
        <v>204</v>
      </c>
      <c r="E5" s="47" t="s">
        <v>207</v>
      </c>
      <c r="F5" s="47" t="s">
        <v>37</v>
      </c>
      <c r="G5" s="50">
        <v>50</v>
      </c>
      <c r="H5" s="51"/>
      <c r="I5" s="51">
        <f t="shared" ref="I5:I11" si="0">G5*H5</f>
        <v>0</v>
      </c>
      <c r="J5" s="57" t="str">
        <f>_xlfn.DISPIMG("ID_0B5651CA1EFF4683B475CC3D3E53D761",1)</f>
        <v>=DISPIMG("ID_0B5651CA1EFF4683B475CC3D3E53D761",1)</v>
      </c>
      <c r="K5" s="47"/>
    </row>
    <row r="6" s="37" customFormat="1" ht="72" customHeight="1" spans="1:11">
      <c r="A6" s="47">
        <v>3</v>
      </c>
      <c r="B6" s="47" t="s">
        <v>208</v>
      </c>
      <c r="C6" s="48" t="s">
        <v>203</v>
      </c>
      <c r="D6" s="49" t="s">
        <v>204</v>
      </c>
      <c r="E6" s="47" t="s">
        <v>209</v>
      </c>
      <c r="F6" s="47" t="s">
        <v>37</v>
      </c>
      <c r="G6" s="50">
        <v>500</v>
      </c>
      <c r="H6" s="51"/>
      <c r="I6" s="51">
        <f t="shared" si="0"/>
        <v>0</v>
      </c>
      <c r="J6" s="57" t="str">
        <f>_xlfn.DISPIMG("ID_9CB7EC4E1CE14F9ABC5E1F76E68F7189",1)</f>
        <v>=DISPIMG("ID_9CB7EC4E1CE14F9ABC5E1F76E68F7189",1)</v>
      </c>
      <c r="K6" s="47"/>
    </row>
    <row r="7" s="37" customFormat="1" ht="74.45" customHeight="1" spans="1:11">
      <c r="A7" s="47">
        <v>4</v>
      </c>
      <c r="B7" s="47" t="s">
        <v>210</v>
      </c>
      <c r="C7" s="48" t="s">
        <v>203</v>
      </c>
      <c r="D7" s="49" t="s">
        <v>204</v>
      </c>
      <c r="E7" s="47" t="s">
        <v>209</v>
      </c>
      <c r="F7" s="47" t="s">
        <v>37</v>
      </c>
      <c r="G7" s="50">
        <v>500</v>
      </c>
      <c r="H7" s="51"/>
      <c r="I7" s="51">
        <f t="shared" si="0"/>
        <v>0</v>
      </c>
      <c r="J7" s="57" t="str">
        <f>_xlfn.DISPIMG("ID_2BF94C85EC444F0EA35CB22A48058528",1)</f>
        <v>=DISPIMG("ID_2BF94C85EC444F0EA35CB22A48058528",1)</v>
      </c>
      <c r="K7" s="47"/>
    </row>
    <row r="8" s="37" customFormat="1" ht="76.9" customHeight="1" spans="1:11">
      <c r="A8" s="47">
        <v>5</v>
      </c>
      <c r="B8" s="47" t="s">
        <v>211</v>
      </c>
      <c r="C8" s="48" t="s">
        <v>203</v>
      </c>
      <c r="D8" s="49" t="s">
        <v>204</v>
      </c>
      <c r="E8" s="47" t="s">
        <v>212</v>
      </c>
      <c r="F8" s="47" t="s">
        <v>37</v>
      </c>
      <c r="G8" s="50">
        <v>300</v>
      </c>
      <c r="H8" s="51"/>
      <c r="I8" s="51">
        <f t="shared" si="0"/>
        <v>0</v>
      </c>
      <c r="J8" s="57" t="str">
        <f>_xlfn.DISPIMG("ID_8195DB2D8B89448C988C69EA5A61CD5E",1)</f>
        <v>=DISPIMG("ID_8195DB2D8B89448C988C69EA5A61CD5E",1)</v>
      </c>
      <c r="K8" s="47" t="s">
        <v>213</v>
      </c>
    </row>
    <row r="9" s="37" customFormat="1" ht="73.9" customHeight="1" spans="1:11">
      <c r="A9" s="47">
        <v>6</v>
      </c>
      <c r="B9" s="47" t="s">
        <v>214</v>
      </c>
      <c r="C9" s="48" t="s">
        <v>203</v>
      </c>
      <c r="D9" s="49" t="s">
        <v>204</v>
      </c>
      <c r="E9" s="47" t="s">
        <v>215</v>
      </c>
      <c r="F9" s="47" t="s">
        <v>37</v>
      </c>
      <c r="G9" s="50">
        <v>600</v>
      </c>
      <c r="H9" s="51"/>
      <c r="I9" s="51">
        <f t="shared" si="0"/>
        <v>0</v>
      </c>
      <c r="J9" s="57" t="str">
        <f>_xlfn.DISPIMG("ID_16EF78779E7D4A7983FB6654CE536E32",1)</f>
        <v>=DISPIMG("ID_16EF78779E7D4A7983FB6654CE536E32",1)</v>
      </c>
      <c r="K9" s="47" t="s">
        <v>213</v>
      </c>
    </row>
    <row r="10" s="37" customFormat="1" ht="90" customHeight="1" spans="1:11">
      <c r="A10" s="47">
        <v>8</v>
      </c>
      <c r="B10" s="47" t="s">
        <v>216</v>
      </c>
      <c r="C10" s="47" t="s">
        <v>217</v>
      </c>
      <c r="D10" s="47" t="s">
        <v>218</v>
      </c>
      <c r="E10" s="52" t="s">
        <v>219</v>
      </c>
      <c r="F10" s="47" t="s">
        <v>37</v>
      </c>
      <c r="G10" s="47">
        <v>5</v>
      </c>
      <c r="H10" s="51"/>
      <c r="I10" s="51">
        <f t="shared" si="0"/>
        <v>0</v>
      </c>
      <c r="J10" s="47" t="str">
        <f>_xlfn.DISPIMG("ID_02B14C0AA2B64805982E37AD4486ADBC",1)</f>
        <v>=DISPIMG("ID_02B14C0AA2B64805982E37AD4486ADBC",1)</v>
      </c>
      <c r="K10" s="58"/>
    </row>
    <row r="11" s="37" customFormat="1" ht="72.6" customHeight="1" spans="1:11">
      <c r="A11" s="47">
        <v>9</v>
      </c>
      <c r="B11" s="47" t="s">
        <v>220</v>
      </c>
      <c r="C11" s="47" t="s">
        <v>221</v>
      </c>
      <c r="D11" s="47" t="s">
        <v>222</v>
      </c>
      <c r="E11" s="47" t="s">
        <v>223</v>
      </c>
      <c r="F11" s="47" t="s">
        <v>25</v>
      </c>
      <c r="G11" s="47">
        <v>5</v>
      </c>
      <c r="H11" s="51"/>
      <c r="I11" s="51">
        <f t="shared" si="0"/>
        <v>0</v>
      </c>
      <c r="J11" s="57" t="str">
        <f>_xlfn.DISPIMG("ID_E6A8E8FA4A1949BAAFAD136C8C5A53E1",1)</f>
        <v>=DISPIMG("ID_E6A8E8FA4A1949BAAFAD136C8C5A53E1",1)</v>
      </c>
      <c r="K11" s="47"/>
    </row>
    <row r="12" ht="31" customHeight="1" spans="1:11">
      <c r="A12" s="53"/>
      <c r="B12" s="54" t="s">
        <v>133</v>
      </c>
      <c r="C12" s="55"/>
      <c r="D12" s="55"/>
      <c r="E12" s="55"/>
      <c r="F12" s="55"/>
      <c r="G12" s="55"/>
      <c r="H12" s="56"/>
      <c r="I12" s="51">
        <f>SUM(I4:I11)</f>
        <v>0</v>
      </c>
      <c r="J12" s="54"/>
      <c r="K12" s="56"/>
    </row>
  </sheetData>
  <mergeCells count="3">
    <mergeCell ref="A1:K1"/>
    <mergeCell ref="B12:H12"/>
    <mergeCell ref="J12:K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P6" sqref="P6"/>
    </sheetView>
  </sheetViews>
  <sheetFormatPr defaultColWidth="8.88888888888889" defaultRowHeight="86" customHeight="1"/>
  <cols>
    <col min="2" max="2" width="11" customWidth="1"/>
    <col min="3" max="3" width="16.2222222222222" customWidth="1"/>
    <col min="5" max="5" width="14" customWidth="1"/>
    <col min="7" max="7" width="10.5555555555556" customWidth="1"/>
    <col min="8" max="8" width="11.7777777777778" customWidth="1"/>
    <col min="9" max="9" width="19.7777777777778" customWidth="1"/>
    <col min="10" max="10" width="19.3333333333333" customWidth="1"/>
  </cols>
  <sheetData>
    <row r="1" ht="43" customHeight="1" spans="1:10">
      <c r="A1" s="1" t="s">
        <v>224</v>
      </c>
      <c r="B1" s="2"/>
      <c r="C1" s="2"/>
      <c r="D1" s="2"/>
      <c r="E1" s="2"/>
      <c r="F1" s="2"/>
      <c r="G1" s="3"/>
      <c r="H1" s="3"/>
      <c r="I1" s="2"/>
      <c r="J1" s="2"/>
    </row>
    <row r="2" ht="37" customHeight="1" spans="1:10">
      <c r="A2" s="4" t="s">
        <v>180</v>
      </c>
      <c r="B2" s="5" t="s">
        <v>181</v>
      </c>
      <c r="C2" s="6" t="s">
        <v>182</v>
      </c>
      <c r="D2" s="6" t="s">
        <v>225</v>
      </c>
      <c r="E2" s="5" t="s">
        <v>184</v>
      </c>
      <c r="F2" s="7" t="s">
        <v>186</v>
      </c>
      <c r="G2" s="8" t="s">
        <v>187</v>
      </c>
      <c r="H2" s="8" t="s">
        <v>226</v>
      </c>
      <c r="I2" s="5" t="s">
        <v>227</v>
      </c>
      <c r="J2" s="26" t="s">
        <v>228</v>
      </c>
    </row>
    <row r="3" ht="37" customHeight="1" spans="1:10">
      <c r="A3" s="9" t="s">
        <v>1</v>
      </c>
      <c r="B3" s="10" t="s">
        <v>229</v>
      </c>
      <c r="C3" s="10" t="s">
        <v>21</v>
      </c>
      <c r="D3" s="10" t="s">
        <v>230</v>
      </c>
      <c r="E3" s="10" t="s">
        <v>231</v>
      </c>
      <c r="F3" s="11" t="s">
        <v>197</v>
      </c>
      <c r="G3" s="12" t="s">
        <v>232</v>
      </c>
      <c r="H3" s="12" t="s">
        <v>233</v>
      </c>
      <c r="I3" s="27" t="s">
        <v>234</v>
      </c>
      <c r="J3" s="28" t="s">
        <v>5</v>
      </c>
    </row>
    <row r="4" customHeight="1" spans="1:10">
      <c r="A4" s="13">
        <v>1</v>
      </c>
      <c r="B4" s="14" t="s">
        <v>235</v>
      </c>
      <c r="C4" s="14" t="s">
        <v>236</v>
      </c>
      <c r="D4" s="15" t="s">
        <v>237</v>
      </c>
      <c r="E4" s="15" t="s">
        <v>238</v>
      </c>
      <c r="F4" s="16">
        <v>48</v>
      </c>
      <c r="G4" s="17"/>
      <c r="H4" s="17">
        <f t="shared" ref="H4:H23" si="0">F4*G4</f>
        <v>0</v>
      </c>
      <c r="I4" s="29" t="str">
        <f>_xlfn.DISPIMG("ID_6BCF4DBA4F604374914941B91A73D655",1)</f>
        <v>=DISPIMG("ID_6BCF4DBA4F604374914941B91A73D655",1)</v>
      </c>
      <c r="J4" s="14"/>
    </row>
    <row r="5" customHeight="1" spans="1:10">
      <c r="A5" s="13">
        <v>2</v>
      </c>
      <c r="B5" s="18" t="s">
        <v>239</v>
      </c>
      <c r="C5" s="14" t="s">
        <v>236</v>
      </c>
      <c r="D5" s="15" t="s">
        <v>240</v>
      </c>
      <c r="E5" s="15" t="s">
        <v>241</v>
      </c>
      <c r="F5" s="16">
        <v>48</v>
      </c>
      <c r="G5" s="17"/>
      <c r="H5" s="17">
        <f t="shared" si="0"/>
        <v>0</v>
      </c>
      <c r="I5" t="str">
        <f>_xlfn.DISPIMG("ID_8BA2A5BCA8A44911BE597FE7BE214308",1)</f>
        <v>=DISPIMG("ID_8BA2A5BCA8A44911BE597FE7BE214308",1)</v>
      </c>
      <c r="J5" s="14"/>
    </row>
    <row r="6" customHeight="1" spans="1:10">
      <c r="A6" s="13">
        <v>3</v>
      </c>
      <c r="B6" s="19" t="s">
        <v>242</v>
      </c>
      <c r="C6" s="14" t="s">
        <v>243</v>
      </c>
      <c r="D6" s="15" t="s">
        <v>244</v>
      </c>
      <c r="E6" s="15" t="s">
        <v>245</v>
      </c>
      <c r="F6" s="16">
        <v>60</v>
      </c>
      <c r="G6" s="17"/>
      <c r="H6" s="17">
        <f t="shared" si="0"/>
        <v>0</v>
      </c>
      <c r="I6" s="30" t="str">
        <f>_xlfn.DISPIMG("ID_9C501E324D4E425FBF4C4DB20D3715D9",1)</f>
        <v>=DISPIMG("ID_9C501E324D4E425FBF4C4DB20D3715D9",1)</v>
      </c>
      <c r="J6" s="14"/>
    </row>
    <row r="7" customHeight="1" spans="1:10">
      <c r="A7" s="13">
        <v>4</v>
      </c>
      <c r="B7" s="20" t="s">
        <v>246</v>
      </c>
      <c r="C7" s="21" t="s">
        <v>247</v>
      </c>
      <c r="D7" s="15" t="s">
        <v>248</v>
      </c>
      <c r="E7" s="15" t="s">
        <v>249</v>
      </c>
      <c r="F7" s="16">
        <v>30</v>
      </c>
      <c r="G7" s="17"/>
      <c r="H7" s="17">
        <f t="shared" si="0"/>
        <v>0</v>
      </c>
      <c r="I7" s="30" t="str">
        <f>_xlfn.DISPIMG("ID_E12085B0BE344B49BF116C0DF64EB637",1)</f>
        <v>=DISPIMG("ID_E12085B0BE344B49BF116C0DF64EB637",1)</v>
      </c>
      <c r="J7" s="14"/>
    </row>
    <row r="8" customHeight="1" spans="1:10">
      <c r="A8" s="13">
        <v>5</v>
      </c>
      <c r="B8" s="20" t="s">
        <v>250</v>
      </c>
      <c r="C8" s="21" t="s">
        <v>247</v>
      </c>
      <c r="D8" s="15" t="s">
        <v>251</v>
      </c>
      <c r="E8" s="15" t="s">
        <v>252</v>
      </c>
      <c r="F8" s="16">
        <v>10</v>
      </c>
      <c r="G8" s="17"/>
      <c r="H8" s="17">
        <f t="shared" si="0"/>
        <v>0</v>
      </c>
      <c r="I8" s="30" t="str">
        <f>_xlfn.DISPIMG("ID_CDEE8EEADBAE4E4D8731C563AC096810",1)</f>
        <v>=DISPIMG("ID_CDEE8EEADBAE4E4D8731C563AC096810",1)</v>
      </c>
      <c r="J8" s="14"/>
    </row>
    <row r="9" customHeight="1" spans="1:10">
      <c r="A9" s="13">
        <v>6</v>
      </c>
      <c r="B9" s="18" t="s">
        <v>253</v>
      </c>
      <c r="C9" s="14" t="s">
        <v>254</v>
      </c>
      <c r="D9" s="15" t="s">
        <v>255</v>
      </c>
      <c r="E9" s="15" t="s">
        <v>256</v>
      </c>
      <c r="F9" s="16">
        <v>650</v>
      </c>
      <c r="G9" s="17"/>
      <c r="H9" s="17">
        <f t="shared" si="0"/>
        <v>0</v>
      </c>
      <c r="I9" s="31" t="str">
        <f>_xlfn.DISPIMG("ID_46936298CAB341B195B219CB45C0B540",1)</f>
        <v>=DISPIMG("ID_46936298CAB341B195B219CB45C0B540",1)</v>
      </c>
      <c r="J9" s="14"/>
    </row>
    <row r="10" customHeight="1" spans="1:10">
      <c r="A10" s="13">
        <v>7</v>
      </c>
      <c r="B10" s="22" t="s">
        <v>257</v>
      </c>
      <c r="C10" s="14" t="s">
        <v>258</v>
      </c>
      <c r="D10" s="23" t="s">
        <v>259</v>
      </c>
      <c r="E10" s="15" t="s">
        <v>260</v>
      </c>
      <c r="F10" s="16">
        <v>300</v>
      </c>
      <c r="G10" s="17"/>
      <c r="H10" s="17">
        <f t="shared" si="0"/>
        <v>0</v>
      </c>
      <c r="I10" t="str">
        <f>_xlfn.DISPIMG("ID_6F4FE4397B964731872D466A486D4F7C",1)</f>
        <v>=DISPIMG("ID_6F4FE4397B964731872D466A486D4F7C",1)</v>
      </c>
      <c r="J10" s="14"/>
    </row>
    <row r="11" customHeight="1" spans="1:10">
      <c r="A11" s="13">
        <v>8</v>
      </c>
      <c r="B11" s="18" t="s">
        <v>261</v>
      </c>
      <c r="C11" s="14" t="s">
        <v>262</v>
      </c>
      <c r="D11" s="23" t="s">
        <v>263</v>
      </c>
      <c r="E11" s="15" t="s">
        <v>264</v>
      </c>
      <c r="F11" s="16">
        <v>12</v>
      </c>
      <c r="G11" s="17"/>
      <c r="H11" s="17">
        <f t="shared" si="0"/>
        <v>0</v>
      </c>
      <c r="I11" s="29" t="str">
        <f>_xlfn.DISPIMG("ID_EBC28B11CE39460D8FB78E6E4CB98BDF",1)</f>
        <v>=DISPIMG("ID_EBC28B11CE39460D8FB78E6E4CB98BDF",1)</v>
      </c>
      <c r="J11" s="14"/>
    </row>
    <row r="12" customHeight="1" spans="1:10">
      <c r="A12" s="13">
        <v>9</v>
      </c>
      <c r="B12" s="18" t="s">
        <v>265</v>
      </c>
      <c r="C12" s="21" t="s">
        <v>266</v>
      </c>
      <c r="D12" s="23" t="s">
        <v>267</v>
      </c>
      <c r="E12" s="15" t="s">
        <v>268</v>
      </c>
      <c r="F12" s="16">
        <v>60</v>
      </c>
      <c r="G12" s="17"/>
      <c r="H12" s="17">
        <f t="shared" si="0"/>
        <v>0</v>
      </c>
      <c r="I12" s="29" t="str">
        <f>_xlfn.DISPIMG("ID_227BA20D9E814819A27112468AB165A2",1)</f>
        <v>=DISPIMG("ID_227BA20D9E814819A27112468AB165A2",1)</v>
      </c>
      <c r="J12" s="14"/>
    </row>
    <row r="13" customHeight="1" spans="1:10">
      <c r="A13" s="13">
        <v>10</v>
      </c>
      <c r="B13" s="18" t="s">
        <v>269</v>
      </c>
      <c r="C13" s="21" t="s">
        <v>266</v>
      </c>
      <c r="D13" s="15" t="s">
        <v>270</v>
      </c>
      <c r="E13" s="15" t="s">
        <v>271</v>
      </c>
      <c r="F13" s="16">
        <v>12</v>
      </c>
      <c r="G13" s="17"/>
      <c r="H13" s="17">
        <f t="shared" si="0"/>
        <v>0</v>
      </c>
      <c r="I13" t="str">
        <f>_xlfn.DISPIMG("ID_14DC7445B6734AA1B5027188C963EAB5",1)</f>
        <v>=DISPIMG("ID_14DC7445B6734AA1B5027188C963EAB5",1)</v>
      </c>
      <c r="J13" s="14"/>
    </row>
    <row r="14" customHeight="1" spans="1:10">
      <c r="A14" s="13">
        <v>11</v>
      </c>
      <c r="B14" s="18" t="s">
        <v>272</v>
      </c>
      <c r="C14" s="21" t="s">
        <v>266</v>
      </c>
      <c r="D14" s="15" t="s">
        <v>273</v>
      </c>
      <c r="E14" s="15" t="s">
        <v>274</v>
      </c>
      <c r="F14" s="16">
        <v>12</v>
      </c>
      <c r="G14" s="17"/>
      <c r="H14" s="17">
        <f t="shared" si="0"/>
        <v>0</v>
      </c>
      <c r="I14" s="29" t="str">
        <f>_xlfn.DISPIMG("ID_F62B415240E84ACF8798FA86E1F3A548",1)</f>
        <v>=DISPIMG("ID_F62B415240E84ACF8798FA86E1F3A548",1)</v>
      </c>
      <c r="J14" s="14"/>
    </row>
    <row r="15" customHeight="1" spans="1:10">
      <c r="A15" s="13">
        <v>12</v>
      </c>
      <c r="B15" s="18" t="s">
        <v>275</v>
      </c>
      <c r="C15" s="14" t="s">
        <v>276</v>
      </c>
      <c r="D15" s="15" t="s">
        <v>277</v>
      </c>
      <c r="E15" s="15" t="s">
        <v>278</v>
      </c>
      <c r="F15" s="16">
        <v>24</v>
      </c>
      <c r="G15" s="17"/>
      <c r="H15" s="17">
        <f t="shared" si="0"/>
        <v>0</v>
      </c>
      <c r="I15" s="29" t="str">
        <f>_xlfn.DISPIMG("ID_B3498389A370447F8625A14FABC763D7",1)</f>
        <v>=DISPIMG("ID_B3498389A370447F8625A14FABC763D7",1)</v>
      </c>
      <c r="J15" s="14"/>
    </row>
    <row r="16" customHeight="1" spans="1:10">
      <c r="A16" s="13">
        <v>13</v>
      </c>
      <c r="B16" s="18" t="s">
        <v>279</v>
      </c>
      <c r="C16" s="14" t="s">
        <v>280</v>
      </c>
      <c r="D16" s="15" t="s">
        <v>281</v>
      </c>
      <c r="E16" s="15" t="s">
        <v>282</v>
      </c>
      <c r="F16" s="16">
        <v>48</v>
      </c>
      <c r="G16" s="17"/>
      <c r="H16" s="17">
        <f t="shared" si="0"/>
        <v>0</v>
      </c>
      <c r="I16" s="29" t="str">
        <f>_xlfn.DISPIMG("ID_0292B3DB10854DA1B90D853383DBAE95",1)</f>
        <v>=DISPIMG("ID_0292B3DB10854DA1B90D853383DBAE95",1)</v>
      </c>
      <c r="J16" s="14"/>
    </row>
    <row r="17" customHeight="1" spans="1:10">
      <c r="A17" s="13">
        <v>14</v>
      </c>
      <c r="B17" s="18" t="s">
        <v>283</v>
      </c>
      <c r="C17" s="21" t="s">
        <v>284</v>
      </c>
      <c r="D17" s="15" t="s">
        <v>285</v>
      </c>
      <c r="E17" s="15" t="s">
        <v>286</v>
      </c>
      <c r="F17" s="16">
        <v>2</v>
      </c>
      <c r="G17" s="17"/>
      <c r="H17" s="17">
        <f t="shared" si="0"/>
        <v>0</v>
      </c>
      <c r="I17" s="31" t="str">
        <f>_xlfn.DISPIMG("ID_0D5ECDF51BCF45BABFF957FE095DED4E",1)</f>
        <v>=DISPIMG("ID_0D5ECDF51BCF45BABFF957FE095DED4E",1)</v>
      </c>
      <c r="J17" s="14"/>
    </row>
    <row r="18" customHeight="1" spans="1:10">
      <c r="A18" s="13">
        <v>15</v>
      </c>
      <c r="B18" s="18" t="s">
        <v>287</v>
      </c>
      <c r="C18" s="21" t="s">
        <v>288</v>
      </c>
      <c r="D18" s="15" t="s">
        <v>289</v>
      </c>
      <c r="E18" s="15" t="s">
        <v>290</v>
      </c>
      <c r="F18" s="16">
        <v>120</v>
      </c>
      <c r="G18" s="17"/>
      <c r="H18" s="17">
        <f t="shared" si="0"/>
        <v>0</v>
      </c>
      <c r="I18" t="str">
        <f>_xlfn.DISPIMG("ID_1D75ABFFD5B143258AB633A8DD1B7607",1)</f>
        <v>=DISPIMG("ID_1D75ABFFD5B143258AB633A8DD1B7607",1)</v>
      </c>
      <c r="J18" s="14"/>
    </row>
    <row r="19" customHeight="1" spans="1:10">
      <c r="A19" s="13">
        <v>16</v>
      </c>
      <c r="B19" s="20" t="s">
        <v>291</v>
      </c>
      <c r="C19" s="24" t="s">
        <v>258</v>
      </c>
      <c r="D19" s="15" t="s">
        <v>292</v>
      </c>
      <c r="E19" s="15" t="s">
        <v>293</v>
      </c>
      <c r="F19" s="16">
        <v>10</v>
      </c>
      <c r="G19" s="17"/>
      <c r="H19" s="17">
        <f t="shared" si="0"/>
        <v>0</v>
      </c>
      <c r="I19" s="29" t="str">
        <f>_xlfn.DISPIMG("ID_5AD9F9EE7F394A2DA9EDD1D9F4B1CA10",1)</f>
        <v>=DISPIMG("ID_5AD9F9EE7F394A2DA9EDD1D9F4B1CA10",1)</v>
      </c>
      <c r="J19" s="14"/>
    </row>
    <row r="20" customHeight="1" spans="1:10">
      <c r="A20" s="13">
        <v>17</v>
      </c>
      <c r="B20" s="20" t="s">
        <v>294</v>
      </c>
      <c r="C20" s="24" t="s">
        <v>258</v>
      </c>
      <c r="D20" s="15" t="s">
        <v>295</v>
      </c>
      <c r="E20" s="15" t="s">
        <v>296</v>
      </c>
      <c r="F20" s="16">
        <v>6</v>
      </c>
      <c r="G20" s="17"/>
      <c r="H20" s="17">
        <f t="shared" si="0"/>
        <v>0</v>
      </c>
      <c r="I20" t="str">
        <f>_xlfn.DISPIMG("ID_635DBF5E9D9D4E3399C22149419B4DF5",1)</f>
        <v>=DISPIMG("ID_635DBF5E9D9D4E3399C22149419B4DF5",1)</v>
      </c>
      <c r="J20" s="14"/>
    </row>
    <row r="21" customHeight="1" spans="1:10">
      <c r="A21" s="13">
        <v>18</v>
      </c>
      <c r="B21" s="18" t="s">
        <v>297</v>
      </c>
      <c r="C21" s="24" t="s">
        <v>258</v>
      </c>
      <c r="D21" s="24" t="s">
        <v>298</v>
      </c>
      <c r="E21" s="15" t="s">
        <v>299</v>
      </c>
      <c r="F21" s="15" t="s">
        <v>300</v>
      </c>
      <c r="G21" s="17"/>
      <c r="H21" s="17">
        <f t="shared" si="0"/>
        <v>0</v>
      </c>
      <c r="I21" s="29" t="str">
        <f>_xlfn.DISPIMG("ID_575E9DA5772B4F798D39372FD2038282",1)</f>
        <v>=DISPIMG("ID_575E9DA5772B4F798D39372FD2038282",1)</v>
      </c>
      <c r="J21" s="32" t="str">
        <f>_xlfn.DISPIMG("ID_5C8626D4922549A19F7C99E1F22827E0",1)</f>
        <v>=DISPIMG("ID_5C8626D4922549A19F7C99E1F22827E0",1)</v>
      </c>
    </row>
    <row r="22" customHeight="1" spans="1:10">
      <c r="A22" s="13">
        <v>19</v>
      </c>
      <c r="B22" s="18"/>
      <c r="C22" s="24" t="s">
        <v>258</v>
      </c>
      <c r="D22" s="24" t="s">
        <v>301</v>
      </c>
      <c r="E22" s="15" t="s">
        <v>302</v>
      </c>
      <c r="F22" s="15" t="s">
        <v>300</v>
      </c>
      <c r="G22" s="17"/>
      <c r="H22" s="17">
        <f t="shared" si="0"/>
        <v>0</v>
      </c>
      <c r="I22" s="29" t="str">
        <f>_xlfn.DISPIMG("ID_BC73B969889B45C8B6CF3D38D6594E67",1)</f>
        <v>=DISPIMG("ID_BC73B969889B45C8B6CF3D38D6594E67",1)</v>
      </c>
      <c r="J22" s="33"/>
    </row>
    <row r="23" customHeight="1" spans="1:10">
      <c r="A23" s="13">
        <v>20</v>
      </c>
      <c r="B23" s="18"/>
      <c r="C23" s="24" t="s">
        <v>258</v>
      </c>
      <c r="D23" s="24" t="s">
        <v>303</v>
      </c>
      <c r="E23" s="15" t="s">
        <v>304</v>
      </c>
      <c r="F23" s="15" t="s">
        <v>300</v>
      </c>
      <c r="G23" s="17"/>
      <c r="H23" s="17">
        <f t="shared" si="0"/>
        <v>0</v>
      </c>
      <c r="I23" s="34" t="str">
        <f>_xlfn.DISPIMG("ID_4F3F9C33A8B246569F1F3CA865C78C71",1)</f>
        <v>=DISPIMG("ID_4F3F9C33A8B246569F1F3CA865C78C71",1)</v>
      </c>
      <c r="J23" s="35"/>
    </row>
    <row r="24" customHeight="1" spans="1:10">
      <c r="A24" s="25" t="s">
        <v>133</v>
      </c>
      <c r="B24" s="18"/>
      <c r="C24" s="24"/>
      <c r="D24" s="24"/>
      <c r="E24" s="15"/>
      <c r="F24" s="15"/>
      <c r="G24" s="24" t="s">
        <v>305</v>
      </c>
      <c r="H24" s="17">
        <f>SUM(H4:H23)</f>
        <v>0</v>
      </c>
      <c r="I24" s="34"/>
      <c r="J24" s="34"/>
    </row>
  </sheetData>
  <mergeCells count="3">
    <mergeCell ref="A1:J1"/>
    <mergeCell ref="B21:B23"/>
    <mergeCell ref="J21:J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报价汇总</vt:lpstr>
      <vt:lpstr>主厨房</vt:lpstr>
      <vt:lpstr>二楼后备餐间</vt:lpstr>
      <vt:lpstr>二楼前备餐间</vt:lpstr>
      <vt:lpstr>三楼VIP备餐间</vt:lpstr>
      <vt:lpstr>不锈钢刀叉</vt:lpstr>
      <vt:lpstr>玻璃器皿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2024-07-25T03:11:03Z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C250E3B3F86E4184B6897009AEAED140_13</vt:lpwstr>
  </property>
</Properties>
</file>